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531"/>
  <workbookPr/>
  <mc:AlternateContent xmlns:mc="http://schemas.openxmlformats.org/markup-compatibility/2006">
    <mc:Choice Requires="x15">
      <x15ac:absPath xmlns:x15ac="http://schemas.microsoft.com/office/spreadsheetml/2010/11/ac" url="https://d.docs.live.net/136a79196adb37b4/Skrivbord/LTH/Examensarbete/Poängbedömning/"/>
    </mc:Choice>
  </mc:AlternateContent>
  <xr:revisionPtr revIDLastSave="2320" documentId="11_AD4D7A0C205A6B9A452FA844A794D2E6693EDF1F" xr6:coauthVersionLast="47" xr6:coauthVersionMax="47" xr10:uidLastSave="{D68EE5BD-071C-4757-8FE3-2F5AF0C54EED}"/>
  <bookViews>
    <workbookView xWindow="-120" yWindow="-120" windowWidth="29040" windowHeight="15720" activeTab="2" xr2:uid="{00000000-000D-0000-FFFF-FFFF00000000}"/>
  </bookViews>
  <sheets>
    <sheet name="Sammanfattning" sheetId="1" r:id="rId1"/>
    <sheet name="Stadens utformning" sheetId="2" r:id="rId2"/>
    <sheet name="Kollektivtrafikens infrastruktu" sheetId="4" r:id="rId3"/>
    <sheet name="Fordon och Stödsystem" sheetId="3" r:id="rId4"/>
    <sheet name="Trafikering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4" i="4" l="1"/>
  <c r="E43" i="4"/>
  <c r="F10" i="4"/>
  <c r="E42" i="4"/>
  <c r="K19" i="4"/>
  <c r="P11" i="4"/>
  <c r="P10" i="4"/>
  <c r="O10" i="4"/>
  <c r="K18" i="4"/>
  <c r="J18" i="4"/>
  <c r="P7" i="4"/>
  <c r="P8" i="4"/>
  <c r="P9" i="4"/>
  <c r="P12" i="4"/>
  <c r="P13" i="4"/>
  <c r="P14" i="4"/>
  <c r="P15" i="4"/>
  <c r="P16" i="4"/>
  <c r="P17" i="4"/>
  <c r="P18" i="4"/>
  <c r="P19" i="4"/>
  <c r="P20" i="4"/>
  <c r="P21" i="4"/>
  <c r="P22" i="4"/>
  <c r="P6" i="4"/>
  <c r="P5" i="4"/>
  <c r="E5" i="4"/>
  <c r="K7" i="4"/>
  <c r="K8" i="4"/>
  <c r="K9" i="4"/>
  <c r="K10" i="4"/>
  <c r="K11" i="4"/>
  <c r="K12" i="4"/>
  <c r="K13" i="4"/>
  <c r="K14" i="4"/>
  <c r="K15" i="4"/>
  <c r="K16" i="4"/>
  <c r="K17" i="4"/>
  <c r="K20" i="4"/>
  <c r="K6" i="4"/>
  <c r="K5" i="4"/>
  <c r="F39" i="1" l="1"/>
  <c r="F32" i="1"/>
  <c r="F12" i="1"/>
  <c r="D44" i="1"/>
  <c r="D45" i="1"/>
  <c r="D47" i="1"/>
  <c r="F68" i="1" l="1"/>
  <c r="F67" i="1"/>
  <c r="F66" i="1"/>
  <c r="F65" i="1"/>
  <c r="F64" i="1"/>
  <c r="F63" i="1"/>
  <c r="F62" i="1"/>
  <c r="F61" i="1"/>
  <c r="F60" i="1"/>
  <c r="F59" i="1"/>
  <c r="F58" i="1"/>
  <c r="F57" i="1"/>
  <c r="F56" i="1"/>
  <c r="F55" i="1"/>
  <c r="F54" i="1"/>
  <c r="F53" i="1"/>
  <c r="F52" i="1"/>
  <c r="F51" i="1"/>
  <c r="F50" i="1"/>
  <c r="F49" i="1"/>
  <c r="F48" i="1"/>
  <c r="F47" i="1"/>
  <c r="F46" i="1"/>
  <c r="F45" i="1"/>
  <c r="F44" i="1"/>
  <c r="D66" i="1"/>
  <c r="G79" i="4"/>
  <c r="D21" i="1" s="1"/>
  <c r="D55" i="1" s="1"/>
  <c r="G77" i="4"/>
  <c r="D5" i="1"/>
  <c r="D68" i="1" s="1"/>
  <c r="E39" i="1"/>
  <c r="E32" i="1"/>
  <c r="E25" i="1"/>
  <c r="E12" i="1"/>
  <c r="D6" i="1"/>
  <c r="D67" i="1" s="1"/>
  <c r="D29" i="1"/>
  <c r="D50" i="1" s="1"/>
  <c r="D37" i="1"/>
  <c r="D7" i="1"/>
  <c r="G10" i="3"/>
  <c r="F10" i="3"/>
  <c r="E50" i="4"/>
  <c r="F43" i="4"/>
  <c r="G43" i="4" s="1"/>
  <c r="E11" i="4"/>
  <c r="E8" i="4"/>
  <c r="E7" i="4"/>
  <c r="E6" i="4"/>
  <c r="E9" i="4" l="1"/>
  <c r="F42" i="4"/>
  <c r="G42" i="4" s="1"/>
  <c r="E66" i="1"/>
  <c r="E67" i="1"/>
  <c r="E45" i="1"/>
  <c r="E55" i="1"/>
  <c r="E50" i="1"/>
  <c r="E68" i="1"/>
  <c r="F7" i="4"/>
  <c r="G7" i="4" s="1"/>
  <c r="F8" i="4"/>
  <c r="G8" i="4" s="1"/>
  <c r="F6" i="4"/>
  <c r="G6" i="4" s="1"/>
  <c r="F5" i="4"/>
  <c r="G5" i="4" s="1"/>
  <c r="F83" i="4"/>
  <c r="G83" i="4" s="1"/>
  <c r="F55" i="4"/>
  <c r="G55" i="4" s="1"/>
  <c r="E12" i="4"/>
  <c r="E49" i="4"/>
  <c r="G106" i="4"/>
  <c r="G107" i="4"/>
  <c r="G108" i="4"/>
  <c r="G105" i="4"/>
  <c r="F108" i="4"/>
  <c r="F107" i="4"/>
  <c r="F106" i="4"/>
  <c r="F105" i="4"/>
  <c r="F100" i="4"/>
  <c r="F99" i="4"/>
  <c r="F98" i="4"/>
  <c r="F97" i="4"/>
  <c r="G60" i="2"/>
  <c r="G59" i="2"/>
  <c r="G58" i="2"/>
  <c r="F59" i="2"/>
  <c r="F58" i="2"/>
  <c r="G48" i="2"/>
  <c r="G47" i="2"/>
  <c r="F48" i="2"/>
  <c r="F47" i="2"/>
  <c r="G40" i="2"/>
  <c r="K42" i="2"/>
  <c r="J42" i="2"/>
  <c r="I42" i="2"/>
  <c r="K40" i="2"/>
  <c r="F19" i="2"/>
  <c r="F20" i="2"/>
  <c r="F21" i="2"/>
  <c r="F18" i="2"/>
  <c r="E21" i="2"/>
  <c r="E20" i="2"/>
  <c r="E19" i="2"/>
  <c r="E18" i="2"/>
  <c r="F62" i="4" l="1"/>
  <c r="G62" i="4" s="1"/>
  <c r="F69" i="4"/>
  <c r="G69" i="4" s="1"/>
  <c r="K19" i="2"/>
  <c r="K20" i="2"/>
  <c r="K21" i="2"/>
  <c r="K22" i="2"/>
  <c r="K23" i="2"/>
  <c r="K24" i="2"/>
  <c r="K25" i="2"/>
  <c r="K26" i="2"/>
  <c r="K27" i="2"/>
  <c r="K28" i="2"/>
  <c r="K29" i="2"/>
  <c r="K30" i="2"/>
  <c r="K18" i="2"/>
  <c r="J32" i="2"/>
  <c r="J33" i="2"/>
  <c r="J34" i="2" s="1"/>
  <c r="J35" i="2" s="1"/>
  <c r="J36" i="2" s="1"/>
  <c r="J31" i="2"/>
  <c r="L15" i="2"/>
  <c r="F9" i="2"/>
  <c r="F13" i="2" s="1"/>
  <c r="O14" i="2"/>
  <c r="J14" i="2"/>
  <c r="O13" i="2"/>
  <c r="J13" i="2"/>
  <c r="R10" i="2"/>
  <c r="O12" i="2"/>
  <c r="J12" i="2"/>
  <c r="O11" i="2"/>
  <c r="J11" i="2"/>
  <c r="G100" i="4"/>
  <c r="F29" i="5"/>
  <c r="D38" i="1" s="1"/>
  <c r="E44" i="1" s="1"/>
  <c r="F22" i="5"/>
  <c r="F15" i="5"/>
  <c r="D36" i="1" s="1"/>
  <c r="D46" i="1" s="1"/>
  <c r="E46" i="1" s="1"/>
  <c r="F6" i="5"/>
  <c r="F8" i="5"/>
  <c r="D35" i="1" s="1"/>
  <c r="E47" i="1" s="1"/>
  <c r="F109" i="4"/>
  <c r="G98" i="4"/>
  <c r="G99" i="4"/>
  <c r="G97" i="4"/>
  <c r="D20" i="1"/>
  <c r="D56" i="1" s="1"/>
  <c r="E56" i="1" s="1"/>
  <c r="G65" i="4"/>
  <c r="G64" i="4"/>
  <c r="G63" i="4"/>
  <c r="G56" i="4"/>
  <c r="D31" i="1"/>
  <c r="D48" i="1" s="1"/>
  <c r="E48" i="1" s="1"/>
  <c r="G12" i="3"/>
  <c r="F17" i="3"/>
  <c r="D30" i="1" s="1"/>
  <c r="D49" i="1" s="1"/>
  <c r="E49" i="1" s="1"/>
  <c r="F7" i="3"/>
  <c r="D28" i="1" s="1"/>
  <c r="D11" i="1"/>
  <c r="D62" i="1" s="1"/>
  <c r="E62" i="1" s="1"/>
  <c r="G55" i="2"/>
  <c r="D10" i="1" s="1"/>
  <c r="D63" i="1" s="1"/>
  <c r="E63" i="1" s="1"/>
  <c r="G49" i="2"/>
  <c r="D9" i="1" s="1"/>
  <c r="D64" i="1" s="1"/>
  <c r="E64" i="1" s="1"/>
  <c r="G44" i="2"/>
  <c r="D8" i="1" s="1"/>
  <c r="D65" i="1" s="1"/>
  <c r="E65" i="1" s="1"/>
  <c r="F10" i="2"/>
  <c r="F11" i="2"/>
  <c r="F12" i="2"/>
  <c r="D32" i="1" l="1"/>
  <c r="D51" i="1"/>
  <c r="E51" i="1" s="1"/>
  <c r="D12" i="1"/>
  <c r="D39" i="1"/>
  <c r="G101" i="4"/>
  <c r="D23" i="1" s="1"/>
  <c r="D53" i="1" s="1"/>
  <c r="E53" i="1" s="1"/>
  <c r="D18" i="1"/>
  <c r="D58" i="1" s="1"/>
  <c r="E58" i="1" s="1"/>
  <c r="G66" i="4"/>
  <c r="D19" i="1" s="1"/>
  <c r="D57" i="1" s="1"/>
  <c r="E57" i="1" s="1"/>
  <c r="M7" i="1" l="1"/>
  <c r="M16" i="1"/>
  <c r="M17" i="1"/>
  <c r="M6" i="1"/>
  <c r="M14" i="1"/>
  <c r="M15" i="1"/>
  <c r="M10" i="1"/>
  <c r="M11" i="1" s="1"/>
  <c r="M4" i="1"/>
  <c r="E22" i="2"/>
  <c r="G109" i="4"/>
  <c r="D24" i="1" s="1"/>
  <c r="D52" i="1" s="1"/>
  <c r="E52" i="1" s="1"/>
  <c r="G44" i="4"/>
  <c r="D16" i="1" s="1"/>
  <c r="D60" i="1" s="1"/>
  <c r="E60" i="1" s="1"/>
  <c r="D22" i="1"/>
  <c r="D54" i="1" s="1"/>
  <c r="E54" i="1" s="1"/>
  <c r="G21" i="2" l="1"/>
  <c r="G19" i="2"/>
  <c r="G18" i="2"/>
  <c r="G20" i="2"/>
  <c r="G51" i="4"/>
  <c r="D17" i="1" s="1"/>
  <c r="G9" i="4"/>
  <c r="D15" i="1" s="1"/>
  <c r="D61" i="1" s="1"/>
  <c r="E61" i="1" s="1"/>
  <c r="D59" i="1" l="1"/>
  <c r="E59" i="1" s="1"/>
  <c r="D25" i="1"/>
  <c r="G22" i="2"/>
  <c r="D40" i="1" s="1"/>
  <c r="M13" i="1" l="1"/>
  <c r="F25" i="1"/>
  <c r="M5" i="1"/>
  <c r="N6" i="1" s="1"/>
  <c r="M12" i="1"/>
  <c r="N4" i="1" l="1"/>
  <c r="N5" i="1"/>
  <c r="N7" i="1"/>
</calcChain>
</file>

<file path=xl/sharedStrings.xml><?xml version="1.0" encoding="utf-8"?>
<sst xmlns="http://schemas.openxmlformats.org/spreadsheetml/2006/main" count="398" uniqueCount="216">
  <si>
    <t>Stadens Utformning</t>
  </si>
  <si>
    <t>Samplanering</t>
  </si>
  <si>
    <t>Genhet</t>
  </si>
  <si>
    <t>Hållplatsavstånd</t>
  </si>
  <si>
    <t>Tvära kurvor</t>
  </si>
  <si>
    <t>Barriäreffekt</t>
  </si>
  <si>
    <t>Cykelstråk</t>
  </si>
  <si>
    <t>Anslutningar till hållplatser</t>
  </si>
  <si>
    <t>Fordon och stödsystem</t>
  </si>
  <si>
    <t>Identitet</t>
  </si>
  <si>
    <t>Realtidsinformation</t>
  </si>
  <si>
    <t>Påstigning i alla dörrar</t>
  </si>
  <si>
    <t>Regularitetsstöd</t>
  </si>
  <si>
    <t>Kollektivtrafikens infrastruktur</t>
  </si>
  <si>
    <t>Busskörfält eller bussgata</t>
  </si>
  <si>
    <t>Busskörfältens placering</t>
  </si>
  <si>
    <t>Annan användning av busskörfälten</t>
  </si>
  <si>
    <t>Utfarter i busskörfält</t>
  </si>
  <si>
    <t>Gatuparkering</t>
  </si>
  <si>
    <t>Farthinder</t>
  </si>
  <si>
    <t>Bussprioritet i korsningar</t>
  </si>
  <si>
    <t>Svängande trafik som korsar bussens körväg</t>
  </si>
  <si>
    <t>Hållplatstyper och plant insteg</t>
  </si>
  <si>
    <t>Utrustning på hållplatser</t>
  </si>
  <si>
    <t>Trafikering</t>
  </si>
  <si>
    <t>Turtäthet dagtid</t>
  </si>
  <si>
    <t>Turtäthet kvällar och helger</t>
  </si>
  <si>
    <t>Öppetider vardag</t>
  </si>
  <si>
    <t>Öppetider helg</t>
  </si>
  <si>
    <t>En översyn av prissättning och placering av gatuparkeringar längs stråket görs i samband med planeringen av BRT.</t>
  </si>
  <si>
    <t>En översyn av planeringsdokument och strategier för cykel- och gångstråk görs i samband med planeringen av BRT.</t>
  </si>
  <si>
    <t>Poäng</t>
  </si>
  <si>
    <t>Viktas med</t>
  </si>
  <si>
    <t>10 % längre än fågelvägen eller mindre</t>
  </si>
  <si>
    <t>20 % längre än fågelvägen</t>
  </si>
  <si>
    <t>30 % längre än fågelvägen</t>
  </si>
  <si>
    <t>40 % längre än fågelvägen eller mer</t>
  </si>
  <si>
    <t>Hållplats</t>
  </si>
  <si>
    <t>Enhet</t>
  </si>
  <si>
    <t>Summa</t>
  </si>
  <si>
    <t>Minst 600m</t>
  </si>
  <si>
    <t>Minst 500m</t>
  </si>
  <si>
    <t>Minst 400m</t>
  </si>
  <si>
    <t>Mindre än 400 m</t>
  </si>
  <si>
    <t>Poäng (tot)</t>
  </si>
  <si>
    <t>Antal</t>
  </si>
  <si>
    <t>sum</t>
  </si>
  <si>
    <t>0,25 tvära kurvor per kilometer i genomsnitt, eller glesare</t>
  </si>
  <si>
    <t>0,50 per kilometer</t>
  </si>
  <si>
    <t>0,75 per kilometer</t>
  </si>
  <si>
    <t>1,00 per kilometer eller tätare</t>
  </si>
  <si>
    <t>BRT-satsningen medför oförändrat eller kortare avstånd för fotgängare som kor-sar något av korsningens ben.</t>
  </si>
  <si>
    <t>BRT-satsningen medför längre avstånd för korsande fotgängare i minst ett av korsningens ben.</t>
  </si>
  <si>
    <t>Poäng tot</t>
  </si>
  <si>
    <t>Sum</t>
  </si>
  <si>
    <t>Cykelbanor utmed eller parallellt med hela busstråket</t>
  </si>
  <si>
    <t>Cykelbanor utmed eller parallellt med stora delar av busstråket</t>
  </si>
  <si>
    <t>Bristande eller ingen cykelinfrastruktur utmed busstråket</t>
  </si>
  <si>
    <t>Viktas med (km)</t>
  </si>
  <si>
    <t xml:space="preserve">Viktas med </t>
  </si>
  <si>
    <t>Anslutning till hållplatser</t>
  </si>
  <si>
    <t>Tydlig vägvisning till hållplatserna i stadsrummet</t>
  </si>
  <si>
    <t>Cykelparkering i nära anslutning till hållplatserna</t>
  </si>
  <si>
    <t>Totalt</t>
  </si>
  <si>
    <t>Alla BRT-fordon har en enhetlig design som särskiljer sig från bussar som inte tillhör en BRT-linje.</t>
  </si>
  <si>
    <t>BRT-linjen har en identitet som särskiljs från övrig, konventionell busstrafik i om-rådet och denna differentiering framgår på linjekartor, hållplatsskyltar och fordon.</t>
  </si>
  <si>
    <t>Identitet (4p tot)</t>
  </si>
  <si>
    <t>Audiovisuell realtidsinformation på hållplatser om nästa avgång (ändhållplatser undantagna)</t>
  </si>
  <si>
    <t>Audiovisuell realtidsinformation ombord om flera hållplatser framåt samt bytes-möjligheter</t>
  </si>
  <si>
    <t>%</t>
  </si>
  <si>
    <t>Passargerarflöde</t>
  </si>
  <si>
    <t>Påstigning i alla dörrar tillåts</t>
  </si>
  <si>
    <t>Alla dörrpositioner är markerade på plattformen</t>
  </si>
  <si>
    <t>IT-system som säkerställer god regularitet (jämna tidsintervall mellan avgång-arna)</t>
  </si>
  <si>
    <t>Viktning med</t>
  </si>
  <si>
    <t>Fysiskt separerade busskörfält (till exempel med kantsten eller refug mellan busskörfält och övriga körfält) eller bussgata</t>
  </si>
  <si>
    <t>Visuellt markerade busskörfält med avvikande färg och heldragen linje, men ingen fysisk separering</t>
  </si>
  <si>
    <t>Busskörfält avgränsade endast med målad linje</t>
  </si>
  <si>
    <t>Blandtrafik</t>
  </si>
  <si>
    <t>Mittförlagda busskörfält eller bussgata (egen bussgata eller busskörfält där båda riktningarna är samlade vid sidan av övriga körfält)</t>
  </si>
  <si>
    <t>Busskörfält i körbanekant (yttre körfält, utmed kantsten eller gatuparkering)</t>
  </si>
  <si>
    <t>Mittförlagd</t>
  </si>
  <si>
    <t>Körbanekant</t>
  </si>
  <si>
    <t>Andel</t>
  </si>
  <si>
    <t>poäng</t>
  </si>
  <si>
    <t>Annan användning av busskörfälten (max 3 p)</t>
  </si>
  <si>
    <t>Endast bussar (och utryckningsfordon) tillåts</t>
  </si>
  <si>
    <t>Blandtrafik eller busskörfält där cykel eller taxi tillåts</t>
  </si>
  <si>
    <t>Enast bussar</t>
  </si>
  <si>
    <t>Utfarter i busskörfält (max 2 p)</t>
  </si>
  <si>
    <t>Inga</t>
  </si>
  <si>
    <t>0,25 per kilometer i genomsnitt</t>
  </si>
  <si>
    <t>0,5 per kilometer eller fler</t>
  </si>
  <si>
    <t>Gatuparkering (max 3 p)</t>
  </si>
  <si>
    <t>0,33 per kilometer i genomsnitt</t>
  </si>
  <si>
    <t>0,67 per kilometer</t>
  </si>
  <si>
    <t>Parkeringsplatser</t>
  </si>
  <si>
    <t>Farthinder (max 3 p)</t>
  </si>
  <si>
    <t>0,17 per kilometer i genomsnitt</t>
  </si>
  <si>
    <t>0,33 per kilometer</t>
  </si>
  <si>
    <t>0,50 per kilometer eller tätare</t>
  </si>
  <si>
    <t>Bussprioritet i korsningar (max 7 p)</t>
  </si>
  <si>
    <t>Signalprioritet för busstrafiken införs eller bibehålls</t>
  </si>
  <si>
    <t>Ingen signalprioritet eller bussar på aktuell linje har väjningsplikt</t>
  </si>
  <si>
    <t>Svängande trafik som korsar bussens körväg (max 3 p)</t>
  </si>
  <si>
    <t>Förekommer ej</t>
  </si>
  <si>
    <t>0,67 per kilometer i genomsnitt</t>
  </si>
  <si>
    <t>1,33 per kilometer</t>
  </si>
  <si>
    <t>2,00 per kilometer eller tätare</t>
  </si>
  <si>
    <t>Gäller endast där det är busskörfält, ej i blandtrafik. Så endast där valig trafik korsar ett busskörfält.</t>
  </si>
  <si>
    <t>Antal svängande trafik som körsar bussens väg</t>
  </si>
  <si>
    <t>Total längd busskörfält (km)</t>
  </si>
  <si>
    <t>per km</t>
  </si>
  <si>
    <t>Hållplatstyper och plant insteg (max 10 p)</t>
  </si>
  <si>
    <t>Stopphållplats med plant insteg utan bussnigning: "spårvagnsplattform", ca 30 cm hög och utskjutande (så kallad klack eller perrongutvidgning) eller med an-nan utrustning för att minimera horisontellt avstånd mellan buss och plattform</t>
  </si>
  <si>
    <t>Stopphållplats med utskjutande plattform (så kallad klack eller perrongutvidg-ning) eller annan utrustning för att minimera horisontellt avstånd mellan buss och plattform</t>
  </si>
  <si>
    <t>Stopphållplats</t>
  </si>
  <si>
    <t>Fickhållplats (bussen måste göra minst en sidoförflyttning för att komma in eller ut från hållplatsen)</t>
  </si>
  <si>
    <t>Utrustning på hållplatser (max 3 p)</t>
  </si>
  <si>
    <t>Väderskydd, sittplatser och belysning finns – väntyta under tak motsvarande hela fordonets längd (eller åtminstone motsvarande avståndet mellan främsta och bakersta dörr)</t>
  </si>
  <si>
    <t>Väderskydd, sittplatser och belysning finns – väntyta under tak motsvarande minst halva fordonets längd</t>
  </si>
  <si>
    <t>Väderskydd, sittplatser och belysning finns – väntyta under tak motsvarande mindre än halva fordonets längd</t>
  </si>
  <si>
    <t>Väderskydd, sittplatser eller belysning saknas</t>
  </si>
  <si>
    <t>Fullt väderskydd</t>
  </si>
  <si>
    <t>Antal kilometer bussfil</t>
  </si>
  <si>
    <t>Antal utfarter dalhem - råå</t>
  </si>
  <si>
    <t>Antal utfarter Råå-Dalhem</t>
  </si>
  <si>
    <t>Max 8 minuter mellan avgångar</t>
  </si>
  <si>
    <t>Max 10 minuter mellan avgångar</t>
  </si>
  <si>
    <t>Mer än 10 minuter mellan avgångar (någon gång under perioden)</t>
  </si>
  <si>
    <t>Max 15 minuter mellan avgångar</t>
  </si>
  <si>
    <t>Max 20 minuter mellan avgångar</t>
  </si>
  <si>
    <t>Mer än 20 minuter mellan avgångar (någon gång under perioden)</t>
  </si>
  <si>
    <t>Öppettider vardag (max 3 p)</t>
  </si>
  <si>
    <t>Minst 19 timmar (till exempel från kl. 5 till midnatt)</t>
  </si>
  <si>
    <t>Minst 17 timmar (till exempel från kl. 6 till 23)</t>
  </si>
  <si>
    <t>Mindre än 17 timmar</t>
  </si>
  <si>
    <t>Öppettider helg (max 3 p)</t>
  </si>
  <si>
    <t>Minst 15 timmar (till exempel från kl. 7 till 22)</t>
  </si>
  <si>
    <t>Mindre än 15 timmar</t>
  </si>
  <si>
    <t>Midjeplattform</t>
  </si>
  <si>
    <t>Vanlig utan ficka</t>
  </si>
  <si>
    <t>Spårvagn</t>
  </si>
  <si>
    <t>Stopp utskjutande</t>
  </si>
  <si>
    <t>Ficka</t>
  </si>
  <si>
    <t>Fullriggare - Malmö C få</t>
  </si>
  <si>
    <t>Fullriggare - Malmö C fa</t>
  </si>
  <si>
    <t>Kvot</t>
  </si>
  <si>
    <t>Stenkällan - Malmö C få</t>
  </si>
  <si>
    <t>Stenkällan - Malmö C fa</t>
  </si>
  <si>
    <t>fa tot</t>
  </si>
  <si>
    <t>vikt</t>
  </si>
  <si>
    <t>Fullriggare</t>
  </si>
  <si>
    <t>ubåt</t>
  </si>
  <si>
    <t>Höjd</t>
  </si>
  <si>
    <t>Radie</t>
  </si>
  <si>
    <t>längd AB</t>
  </si>
  <si>
    <t>Bussficka?</t>
  </si>
  <si>
    <t>Räknas som tak eller inte tak?</t>
  </si>
  <si>
    <t>Ränas dessa som bussfickor?</t>
  </si>
  <si>
    <t>Typ av körfält</t>
  </si>
  <si>
    <t>Avstånd</t>
  </si>
  <si>
    <t>Start Fullriggare</t>
  </si>
  <si>
    <t>Start Stenkällan</t>
  </si>
  <si>
    <t>Visuell</t>
  </si>
  <si>
    <t>linje</t>
  </si>
  <si>
    <t>Fysisk</t>
  </si>
  <si>
    <t>Skillnad</t>
  </si>
  <si>
    <t>Stopphållplats eller utskjutande plattform?</t>
  </si>
  <si>
    <t>Amiralsgatan 1, hur räknas denna?</t>
  </si>
  <si>
    <t>Avdrag</t>
  </si>
  <si>
    <t>Utfarter</t>
  </si>
  <si>
    <t>Turtäthet dagtid kl. 6-18 (max 4 p)</t>
  </si>
  <si>
    <t>Turtäthet kvällar och helger fram till kl. 22 (max 4 p)</t>
  </si>
  <si>
    <t>Summering</t>
  </si>
  <si>
    <t>Parameter</t>
  </si>
  <si>
    <t>Max P</t>
  </si>
  <si>
    <t>Stadens utformning</t>
  </si>
  <si>
    <t>Stadens Utformning pot</t>
  </si>
  <si>
    <t>Kollektivtrafikens infrastruktur pot</t>
  </si>
  <si>
    <t>Fordon och stödsystem pot</t>
  </si>
  <si>
    <t>Trafikering pot</t>
  </si>
  <si>
    <t>Faktisk poäng</t>
  </si>
  <si>
    <t>tot</t>
  </si>
  <si>
    <t>Parametrar</t>
  </si>
  <si>
    <t>1. Samplanering</t>
  </si>
  <si>
    <t>2. Genhet</t>
  </si>
  <si>
    <t>25. Öppetider helg</t>
  </si>
  <si>
    <t>24. Öppetider vardag</t>
  </si>
  <si>
    <t>23. Turtäthet kvällar och helger</t>
  </si>
  <si>
    <t>22. Turtäthet dagtid</t>
  </si>
  <si>
    <t>21. Regularitetsstöd</t>
  </si>
  <si>
    <t>20. Påstigning i alla dörrar</t>
  </si>
  <si>
    <t>19. Realtidsinformation</t>
  </si>
  <si>
    <t>18. Identitet</t>
  </si>
  <si>
    <t>17. Utrustning på hållplatser</t>
  </si>
  <si>
    <t>16. Hållplatstyper och plant insteg</t>
  </si>
  <si>
    <t>14. Bussprioritet i korsningar</t>
  </si>
  <si>
    <t>13. Farthinder</t>
  </si>
  <si>
    <t>12. Gatuparkering</t>
  </si>
  <si>
    <t>11. Utfarter i busskörfält</t>
  </si>
  <si>
    <t>10. Annan användning av busskörfälten</t>
  </si>
  <si>
    <t>9. Busskörfältens placering</t>
  </si>
  <si>
    <t>8. Busskörfält eller bussgata</t>
  </si>
  <si>
    <t>7. Anslutningar till hållplatser</t>
  </si>
  <si>
    <t>6. Cykelstråk</t>
  </si>
  <si>
    <t>5. Barriäreffekt</t>
  </si>
  <si>
    <t>4. Tvära kurvor</t>
  </si>
  <si>
    <t>3. Hållplatsavstånd</t>
  </si>
  <si>
    <t>15. Svängande trafik</t>
  </si>
  <si>
    <t>MalmöExpressen Linje 5</t>
  </si>
  <si>
    <t>c</t>
  </si>
  <si>
    <t>Helt unika fordon, spårvagnsliknande</t>
  </si>
  <si>
    <t>skiljer sig inte från övrig trafik</t>
  </si>
  <si>
    <t>Görs kontinuerligt, inte kopplat till ett BRT-projekt</t>
  </si>
  <si>
    <t>Har gjorts för att säkerställa säkra passager för gång och cykel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</si>
</sst>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5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 tint="0.39997558519241921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3" fillId="4" borderId="0" applyNumberFormat="0" applyBorder="0" applyAlignment="0" applyProtection="0"/>
  </cellStyleXfs>
  <cellXfs count="36">
    <xf numFmtId="0" fontId="0" fillId="0" borderId="0" xfId="0"/>
    <xf numFmtId="0" fontId="0" fillId="0" borderId="1" xfId="0" applyBorder="1"/>
    <xf numFmtId="0" fontId="0" fillId="0" borderId="1" xfId="0" applyBorder="1" applyAlignment="1">
      <alignment wrapText="1"/>
    </xf>
    <xf numFmtId="0" fontId="2" fillId="3" borderId="1" xfId="2" applyBorder="1"/>
    <xf numFmtId="0" fontId="1" fillId="2" borderId="1" xfId="1" applyBorder="1"/>
    <xf numFmtId="2" fontId="0" fillId="0" borderId="0" xfId="0" applyNumberFormat="1"/>
    <xf numFmtId="2" fontId="0" fillId="0" borderId="1" xfId="0" applyNumberFormat="1" applyBorder="1"/>
    <xf numFmtId="0" fontId="0" fillId="0" borderId="3" xfId="0" applyBorder="1"/>
    <xf numFmtId="0" fontId="3" fillId="4" borderId="1" xfId="3" applyBorder="1"/>
    <xf numFmtId="0" fontId="0" fillId="0" borderId="0" xfId="0" applyAlignment="1">
      <alignment wrapText="1"/>
    </xf>
    <xf numFmtId="164" fontId="0" fillId="0" borderId="3" xfId="0" applyNumberFormat="1" applyBorder="1"/>
    <xf numFmtId="164" fontId="0" fillId="0" borderId="1" xfId="0" applyNumberFormat="1" applyBorder="1"/>
    <xf numFmtId="0" fontId="3" fillId="4" borderId="0" xfId="3"/>
    <xf numFmtId="0" fontId="0" fillId="5" borderId="5" xfId="0" applyFill="1" applyBorder="1"/>
    <xf numFmtId="0" fontId="0" fillId="5" borderId="4" xfId="0" applyFill="1" applyBorder="1"/>
    <xf numFmtId="0" fontId="0" fillId="5" borderId="3" xfId="0" applyFill="1" applyBorder="1"/>
    <xf numFmtId="0" fontId="0" fillId="6" borderId="5" xfId="0" applyFill="1" applyBorder="1"/>
    <xf numFmtId="0" fontId="0" fillId="6" borderId="4" xfId="0" applyFill="1" applyBorder="1"/>
    <xf numFmtId="0" fontId="0" fillId="6" borderId="3" xfId="0" applyFill="1" applyBorder="1"/>
    <xf numFmtId="0" fontId="0" fillId="7" borderId="5" xfId="0" applyFill="1" applyBorder="1"/>
    <xf numFmtId="0" fontId="0" fillId="7" borderId="4" xfId="0" applyFill="1" applyBorder="1"/>
    <xf numFmtId="0" fontId="0" fillId="7" borderId="3" xfId="0" applyFill="1" applyBorder="1"/>
    <xf numFmtId="0" fontId="0" fillId="8" borderId="5" xfId="0" applyFill="1" applyBorder="1"/>
    <xf numFmtId="0" fontId="0" fillId="8" borderId="4" xfId="0" applyFill="1" applyBorder="1"/>
    <xf numFmtId="0" fontId="0" fillId="8" borderId="3" xfId="0" applyFill="1" applyBorder="1"/>
    <xf numFmtId="0" fontId="4" fillId="0" borderId="1" xfId="0" applyFont="1" applyBorder="1"/>
    <xf numFmtId="0" fontId="1" fillId="2" borderId="1" xfId="1" applyBorder="1" applyAlignment="1">
      <alignment horizontal="left"/>
    </xf>
    <xf numFmtId="164" fontId="1" fillId="2" borderId="1" xfId="1" applyNumberFormat="1" applyBorder="1"/>
    <xf numFmtId="0" fontId="0" fillId="0" borderId="2" xfId="0" applyBorder="1"/>
    <xf numFmtId="0" fontId="1" fillId="2" borderId="3" xfId="1" applyBorder="1"/>
    <xf numFmtId="164" fontId="0" fillId="0" borderId="0" xfId="0" applyNumberFormat="1"/>
    <xf numFmtId="1" fontId="0" fillId="0" borderId="0" xfId="0" applyNumberFormat="1"/>
    <xf numFmtId="0" fontId="4" fillId="0" borderId="0" xfId="0" applyFont="1"/>
    <xf numFmtId="0" fontId="1" fillId="2" borderId="5" xfId="1" applyBorder="1" applyAlignment="1">
      <alignment horizontal="center"/>
    </xf>
    <xf numFmtId="0" fontId="1" fillId="2" borderId="1" xfId="1" applyBorder="1" applyAlignment="1">
      <alignment horizontal="center"/>
    </xf>
    <xf numFmtId="0" fontId="1" fillId="2" borderId="4" xfId="1" applyBorder="1" applyAlignment="1">
      <alignment horizontal="center"/>
    </xf>
  </cellXfs>
  <cellStyles count="4">
    <cellStyle name="Bra" xfId="1" builtinId="26"/>
    <cellStyle name="Dålig" xfId="2" builtinId="27"/>
    <cellStyle name="Neutral" xfId="3" builtinId="28"/>
    <cellStyle name="Normal" xfId="0" builtinId="0"/>
  </cellStyles>
  <dxfs count="0"/>
  <tableStyles count="0" defaultTableStyle="TableStyleMedium2" defaultPivotStyle="PivotStyleLight16"/>
  <colors>
    <mruColors>
      <color rgb="FFFFC000"/>
      <color rgb="FF4472C4"/>
      <color rgb="FFED7D31"/>
      <color rgb="FF70AD4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microsoft.com/office/2017/10/relationships/person" Target="persons/person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sv-SE"/>
              <a:t>MalmöExpressen Linje 5, 58,4 p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8.455444444444446E-2"/>
          <c:y val="0.12710007610350077"/>
          <c:w val="0.84448999999999996"/>
          <c:h val="0.86762671232876709"/>
        </c:manualLayout>
      </c:layout>
      <c:pie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6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2-6BEC-49D4-B87A-A7B1EA9A837E}"/>
              </c:ext>
            </c:extLst>
          </c:dPt>
          <c:dPt>
            <c:idx val="1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4-6BEC-49D4-B87A-A7B1EA9A837E}"/>
              </c:ext>
            </c:extLst>
          </c:dPt>
          <c:dPt>
            <c:idx val="2"/>
            <c:bubble3D val="0"/>
            <c:spPr>
              <a:solidFill>
                <a:schemeClr val="accent2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6-6BEC-49D4-B87A-A7B1EA9A837E}"/>
              </c:ext>
            </c:extLst>
          </c:dPt>
          <c:dPt>
            <c:idx val="3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8-6BEC-49D4-B87A-A7B1EA9A837E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A-6BEC-49D4-B87A-A7B1EA9A837E}"/>
              </c:ext>
            </c:extLst>
          </c:dPt>
          <c:dPt>
            <c:idx val="5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C-6BEC-49D4-B87A-A7B1EA9A837E}"/>
              </c:ext>
            </c:extLst>
          </c:dPt>
          <c:dPt>
            <c:idx val="6"/>
            <c:bubble3D val="0"/>
            <c:spPr>
              <a:solidFill>
                <a:schemeClr val="accent4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E-6BEC-49D4-B87A-A7B1EA9A837E}"/>
              </c:ext>
            </c:extLst>
          </c:dPt>
          <c:dPt>
            <c:idx val="7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0-6BEC-49D4-B87A-A7B1EA9A837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sv-SE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Sammanfattning!$L$10:$L$17</c:f>
              <c:strCache>
                <c:ptCount val="8"/>
                <c:pt idx="0">
                  <c:v>Stadens Utformning</c:v>
                </c:pt>
                <c:pt idx="1">
                  <c:v>Stadens Utformning pot</c:v>
                </c:pt>
                <c:pt idx="2">
                  <c:v>Kollektivtrafikens infrastruktur</c:v>
                </c:pt>
                <c:pt idx="3">
                  <c:v>Kollektivtrafikens infrastruktur pot</c:v>
                </c:pt>
                <c:pt idx="4">
                  <c:v>Fordon och stödsystem</c:v>
                </c:pt>
                <c:pt idx="5">
                  <c:v>Fordon och stödsystem pot</c:v>
                </c:pt>
                <c:pt idx="6">
                  <c:v>Trafikering</c:v>
                </c:pt>
                <c:pt idx="7">
                  <c:v>Trafikering pot</c:v>
                </c:pt>
              </c:strCache>
            </c:strRef>
          </c:cat>
          <c:val>
            <c:numRef>
              <c:f>Sammanfattning!$M$10:$M$17</c:f>
              <c:numCache>
                <c:formatCode>0</c:formatCode>
                <c:ptCount val="8"/>
                <c:pt idx="0">
                  <c:v>9.7197096657305906</c:v>
                </c:pt>
                <c:pt idx="1">
                  <c:v>10.280290334269409</c:v>
                </c:pt>
                <c:pt idx="2">
                  <c:v>19.617304781862281</c:v>
                </c:pt>
                <c:pt idx="3">
                  <c:v>26.382695218137719</c:v>
                </c:pt>
                <c:pt idx="4">
                  <c:v>14.789473684210527</c:v>
                </c:pt>
                <c:pt idx="5">
                  <c:v>5.2105263157894726</c:v>
                </c:pt>
                <c:pt idx="6">
                  <c:v>13</c:v>
                </c:pt>
                <c:pt idx="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6BEC-49D4-B87A-A7B1EA9A837E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sv-S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658219993048747E-2"/>
          <c:y val="2.0833333333333332E-2"/>
          <c:w val="0.52168402522635982"/>
          <c:h val="0.95370370370370372"/>
        </c:manualLayout>
      </c:layout>
      <c:pie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6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2-61B1-4994-8D8C-6C2A4A9227C8}"/>
              </c:ext>
            </c:extLst>
          </c:dPt>
          <c:dPt>
            <c:idx val="1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4-61B1-4994-8D8C-6C2A4A9227C8}"/>
              </c:ext>
            </c:extLst>
          </c:dPt>
          <c:dPt>
            <c:idx val="2"/>
            <c:bubble3D val="0"/>
            <c:spPr>
              <a:solidFill>
                <a:schemeClr val="accent2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6-61B1-4994-8D8C-6C2A4A9227C8}"/>
              </c:ext>
            </c:extLst>
          </c:dPt>
          <c:dPt>
            <c:idx val="3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8-61B1-4994-8D8C-6C2A4A9227C8}"/>
              </c:ext>
            </c:extLst>
          </c:dPt>
          <c:dPt>
            <c:idx val="4"/>
            <c:bubble3D val="0"/>
            <c:spPr>
              <a:solidFill>
                <a:srgbClr val="0070C0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A-61B1-4994-8D8C-6C2A4A9227C8}"/>
              </c:ext>
            </c:extLst>
          </c:dPt>
          <c:dPt>
            <c:idx val="5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C-61B1-4994-8D8C-6C2A4A9227C8}"/>
              </c:ext>
            </c:extLst>
          </c:dPt>
          <c:dPt>
            <c:idx val="6"/>
            <c:bubble3D val="0"/>
            <c:spPr>
              <a:solidFill>
                <a:srgbClr val="FFC000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E-61B1-4994-8D8C-6C2A4A9227C8}"/>
              </c:ext>
            </c:extLst>
          </c:dPt>
          <c:dPt>
            <c:idx val="7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0-61B1-4994-8D8C-6C2A4A9227C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sv-SE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Sammanfattning!$L$10:$L$17</c:f>
              <c:strCache>
                <c:ptCount val="8"/>
                <c:pt idx="0">
                  <c:v>Stadens Utformning</c:v>
                </c:pt>
                <c:pt idx="1">
                  <c:v>Stadens Utformning pot</c:v>
                </c:pt>
                <c:pt idx="2">
                  <c:v>Kollektivtrafikens infrastruktur</c:v>
                </c:pt>
                <c:pt idx="3">
                  <c:v>Kollektivtrafikens infrastruktur pot</c:v>
                </c:pt>
                <c:pt idx="4">
                  <c:v>Fordon och stödsystem</c:v>
                </c:pt>
                <c:pt idx="5">
                  <c:v>Fordon och stödsystem pot</c:v>
                </c:pt>
                <c:pt idx="6">
                  <c:v>Trafikering</c:v>
                </c:pt>
                <c:pt idx="7">
                  <c:v>Trafikering pot</c:v>
                </c:pt>
              </c:strCache>
            </c:strRef>
          </c:cat>
          <c:val>
            <c:numRef>
              <c:f>Sammanfattning!$M$10:$M$17</c:f>
              <c:numCache>
                <c:formatCode>0</c:formatCode>
                <c:ptCount val="8"/>
                <c:pt idx="0">
                  <c:v>9.7197096657305906</c:v>
                </c:pt>
                <c:pt idx="1">
                  <c:v>10.280290334269409</c:v>
                </c:pt>
                <c:pt idx="2">
                  <c:v>19.617304781862281</c:v>
                </c:pt>
                <c:pt idx="3">
                  <c:v>26.382695218137719</c:v>
                </c:pt>
                <c:pt idx="4">
                  <c:v>14.789473684210527</c:v>
                </c:pt>
                <c:pt idx="5">
                  <c:v>5.2105263157894726</c:v>
                </c:pt>
                <c:pt idx="6">
                  <c:v>13</c:v>
                </c:pt>
                <c:pt idx="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61B1-4994-8D8C-6C2A4A9227C8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legendEntry>
        <c:idx val="1"/>
        <c:delete val="1"/>
      </c:legendEntry>
      <c:legendEntry>
        <c:idx val="3"/>
        <c:delete val="1"/>
      </c:legendEntry>
      <c:legendEntry>
        <c:idx val="5"/>
        <c:delete val="1"/>
      </c:legendEntry>
      <c:legendEntry>
        <c:idx val="7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sv-SE"/>
        </a:p>
      </c:txPr>
    </c:legend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sv-SE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stack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D-9055-46AC-9B82-4ED900B74C05}"/>
              </c:ext>
            </c:extLst>
          </c:dPt>
          <c:dPt>
            <c:idx val="1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C-9055-46AC-9B82-4ED900B74C05}"/>
              </c:ext>
            </c:extLst>
          </c:dPt>
          <c:dPt>
            <c:idx val="2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B-9055-46AC-9B82-4ED900B74C05}"/>
              </c:ext>
            </c:extLst>
          </c:dPt>
          <c:dPt>
            <c:idx val="3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A-9055-46AC-9B82-4ED900B74C05}"/>
              </c:ext>
            </c:extLst>
          </c:dPt>
          <c:dPt>
            <c:idx val="4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5-9055-46AC-9B82-4ED900B74C05}"/>
              </c:ext>
            </c:extLst>
          </c:dPt>
          <c:dPt>
            <c:idx val="5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4-9055-46AC-9B82-4ED900B74C05}"/>
              </c:ext>
            </c:extLst>
          </c:dPt>
          <c:dPt>
            <c:idx val="6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3-9055-46AC-9B82-4ED900B74C05}"/>
              </c:ext>
            </c:extLst>
          </c:dPt>
          <c:dPt>
            <c:idx val="7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2-9055-46AC-9B82-4ED900B74C05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E-9055-46AC-9B82-4ED900B74C05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D-9055-46AC-9B82-4ED900B74C05}"/>
              </c:ext>
            </c:extLst>
          </c:dPt>
          <c:dPt>
            <c:idx val="10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1-9055-46AC-9B82-4ED900B74C05}"/>
              </c:ext>
            </c:extLst>
          </c:dPt>
          <c:dPt>
            <c:idx val="11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C-9055-46AC-9B82-4ED900B74C05}"/>
              </c:ext>
            </c:extLst>
          </c:dPt>
          <c:dPt>
            <c:idx val="12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0-9055-46AC-9B82-4ED900B74C05}"/>
              </c:ext>
            </c:extLst>
          </c:dPt>
          <c:dPt>
            <c:idx val="13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B-9055-46AC-9B82-4ED900B74C05}"/>
              </c:ext>
            </c:extLst>
          </c:dPt>
          <c:dPt>
            <c:idx val="14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F-9055-46AC-9B82-4ED900B74C05}"/>
              </c:ext>
            </c:extLst>
          </c:dPt>
          <c:dPt>
            <c:idx val="15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A-9055-46AC-9B82-4ED900B74C05}"/>
              </c:ext>
            </c:extLst>
          </c:dPt>
          <c:dPt>
            <c:idx val="16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9-9055-46AC-9B82-4ED900B74C05}"/>
              </c:ext>
            </c:extLst>
          </c:dPt>
          <c:dPt>
            <c:idx val="17"/>
            <c:invertIfNegative val="0"/>
            <c:bubble3D val="0"/>
            <c:spPr>
              <a:solidFill>
                <a:srgbClr val="ED7D3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9055-46AC-9B82-4ED900B74C05}"/>
              </c:ext>
            </c:extLst>
          </c:dPt>
          <c:dPt>
            <c:idx val="18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C-9055-46AC-9B82-4ED900B74C05}"/>
              </c:ext>
            </c:extLst>
          </c:dPt>
          <c:dPt>
            <c:idx val="19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9055-46AC-9B82-4ED900B74C05}"/>
              </c:ext>
            </c:extLst>
          </c:dPt>
          <c:dPt>
            <c:idx val="20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8-9055-46AC-9B82-4ED900B74C05}"/>
              </c:ext>
            </c:extLst>
          </c:dPt>
          <c:dPt>
            <c:idx val="21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9055-46AC-9B82-4ED900B74C05}"/>
              </c:ext>
            </c:extLst>
          </c:dPt>
          <c:dPt>
            <c:idx val="22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9055-46AC-9B82-4ED900B74C05}"/>
              </c:ext>
            </c:extLst>
          </c:dPt>
          <c:dPt>
            <c:idx val="23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9055-46AC-9B82-4ED900B74C05}"/>
              </c:ext>
            </c:extLst>
          </c:dPt>
          <c:dPt>
            <c:idx val="24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9055-46AC-9B82-4ED900B74C05}"/>
              </c:ext>
            </c:extLst>
          </c:dPt>
          <c:cat>
            <c:strRef>
              <c:f>Sammanfattning!$C$44:$C$68</c:f>
              <c:strCache>
                <c:ptCount val="25"/>
                <c:pt idx="0">
                  <c:v>25. Öppetider helg</c:v>
                </c:pt>
                <c:pt idx="1">
                  <c:v>24. Öppetider vardag</c:v>
                </c:pt>
                <c:pt idx="2">
                  <c:v>23. Turtäthet kvällar och helger</c:v>
                </c:pt>
                <c:pt idx="3">
                  <c:v>22. Turtäthet dagtid</c:v>
                </c:pt>
                <c:pt idx="4">
                  <c:v>21. Regularitetsstöd</c:v>
                </c:pt>
                <c:pt idx="5">
                  <c:v>20. Påstigning i alla dörrar</c:v>
                </c:pt>
                <c:pt idx="6">
                  <c:v>19. Realtidsinformation</c:v>
                </c:pt>
                <c:pt idx="7">
                  <c:v>18. Identitet</c:v>
                </c:pt>
                <c:pt idx="8">
                  <c:v>17. Utrustning på hållplatser</c:v>
                </c:pt>
                <c:pt idx="9">
                  <c:v>16. Hållplatstyper och plant insteg</c:v>
                </c:pt>
                <c:pt idx="10">
                  <c:v>15. Svängande trafik</c:v>
                </c:pt>
                <c:pt idx="11">
                  <c:v>14. Bussprioritet i korsningar</c:v>
                </c:pt>
                <c:pt idx="12">
                  <c:v>13. Farthinder</c:v>
                </c:pt>
                <c:pt idx="13">
                  <c:v>12. Gatuparkering</c:v>
                </c:pt>
                <c:pt idx="14">
                  <c:v>11. Utfarter i busskörfält</c:v>
                </c:pt>
                <c:pt idx="15">
                  <c:v>10. Annan användning av busskörfälten</c:v>
                </c:pt>
                <c:pt idx="16">
                  <c:v>9. Busskörfältens placering</c:v>
                </c:pt>
                <c:pt idx="17">
                  <c:v>8. Busskörfält eller bussgata</c:v>
                </c:pt>
                <c:pt idx="18">
                  <c:v>7. Anslutningar till hållplatser</c:v>
                </c:pt>
                <c:pt idx="19">
                  <c:v>6. Cykelstråk</c:v>
                </c:pt>
                <c:pt idx="20">
                  <c:v>5. Barriäreffekt</c:v>
                </c:pt>
                <c:pt idx="21">
                  <c:v>4. Tvära kurvor</c:v>
                </c:pt>
                <c:pt idx="22">
                  <c:v>3. Hållplatsavstånd</c:v>
                </c:pt>
                <c:pt idx="23">
                  <c:v>2. Genhet</c:v>
                </c:pt>
                <c:pt idx="24">
                  <c:v>1. Samplanering</c:v>
                </c:pt>
              </c:strCache>
            </c:strRef>
          </c:cat>
          <c:val>
            <c:numRef>
              <c:f>Sammanfattning!$D$44:$D$68</c:f>
              <c:numCache>
                <c:formatCode>General</c:formatCode>
                <c:ptCount val="25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 formatCode="0.0">
                  <c:v>4</c:v>
                </c:pt>
                <c:pt idx="4" formatCode="0.0">
                  <c:v>0</c:v>
                </c:pt>
                <c:pt idx="5" formatCode="0.0">
                  <c:v>9</c:v>
                </c:pt>
                <c:pt idx="6" formatCode="0.0">
                  <c:v>3.7894736842105265</c:v>
                </c:pt>
                <c:pt idx="7" formatCode="0.0">
                  <c:v>2</c:v>
                </c:pt>
                <c:pt idx="8" formatCode="0.0">
                  <c:v>1.1842105263157894</c:v>
                </c:pt>
                <c:pt idx="9" formatCode="0.0">
                  <c:v>3.8157894736842106</c:v>
                </c:pt>
                <c:pt idx="10" formatCode="0.0">
                  <c:v>0</c:v>
                </c:pt>
                <c:pt idx="11" formatCode="0.0">
                  <c:v>5.6000000000000005</c:v>
                </c:pt>
                <c:pt idx="12" formatCode="0.0">
                  <c:v>0</c:v>
                </c:pt>
                <c:pt idx="13" formatCode="0.0">
                  <c:v>0.67164179104477606</c:v>
                </c:pt>
                <c:pt idx="14" formatCode="0.0">
                  <c:v>0</c:v>
                </c:pt>
                <c:pt idx="15" formatCode="0.0">
                  <c:v>3</c:v>
                </c:pt>
                <c:pt idx="16" formatCode="0.0">
                  <c:v>1.7867376176831764</c:v>
                </c:pt>
                <c:pt idx="17" formatCode="0.0">
                  <c:v>3.5589253731343282</c:v>
                </c:pt>
                <c:pt idx="18" formatCode="0.0">
                  <c:v>1</c:v>
                </c:pt>
                <c:pt idx="19" formatCode="0.0">
                  <c:v>1</c:v>
                </c:pt>
                <c:pt idx="20" formatCode="0.0">
                  <c:v>2.6842105263157894</c:v>
                </c:pt>
                <c:pt idx="21" formatCode="0.0">
                  <c:v>0.62650602409638623</c:v>
                </c:pt>
                <c:pt idx="22" formatCode="0.0">
                  <c:v>1.9999999999999998</c:v>
                </c:pt>
                <c:pt idx="23" formatCode="0.0">
                  <c:v>2.408993115318415</c:v>
                </c:pt>
                <c:pt idx="24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55-46AC-9B82-4ED900B74C05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31-9055-46AC-9B82-4ED900B74C05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30-9055-46AC-9B82-4ED900B74C05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F-9055-46AC-9B82-4ED900B74C05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E-9055-46AC-9B82-4ED900B74C05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6-9055-46AC-9B82-4ED900B74C05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7-9055-46AC-9B82-4ED900B74C05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8-9055-46AC-9B82-4ED900B74C05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9-9055-46AC-9B82-4ED900B74C05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8-9055-46AC-9B82-4ED900B74C05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9055-46AC-9B82-4ED900B74C05}"/>
              </c:ext>
            </c:extLst>
          </c:dPt>
          <c:dPt>
            <c:idx val="10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6-9055-46AC-9B82-4ED900B74C05}"/>
              </c:ext>
            </c:extLst>
          </c:dPt>
          <c:dPt>
            <c:idx val="11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9055-46AC-9B82-4ED900B74C05}"/>
              </c:ext>
            </c:extLst>
          </c:dPt>
          <c:dPt>
            <c:idx val="12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4-9055-46AC-9B82-4ED900B74C05}"/>
              </c:ext>
            </c:extLst>
          </c:dPt>
          <c:dPt>
            <c:idx val="13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9055-46AC-9B82-4ED900B74C05}"/>
              </c:ext>
            </c:extLst>
          </c:dPt>
          <c:dPt>
            <c:idx val="14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2-9055-46AC-9B82-4ED900B74C05}"/>
              </c:ext>
            </c:extLst>
          </c:dPt>
          <c:dPt>
            <c:idx val="15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2-5232-41B4-AB14-1AA3A7D63EC1}"/>
              </c:ext>
            </c:extLst>
          </c:dPt>
          <c:dPt>
            <c:idx val="16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9055-46AC-9B82-4ED900B74C05}"/>
              </c:ext>
            </c:extLst>
          </c:dPt>
          <c:dPt>
            <c:idx val="17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0-9055-46AC-9B82-4ED900B74C05}"/>
              </c:ext>
            </c:extLst>
          </c:dPt>
          <c:dPt>
            <c:idx val="18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E-9055-46AC-9B82-4ED900B74C05}"/>
              </c:ext>
            </c:extLst>
          </c:dPt>
          <c:dPt>
            <c:idx val="19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9055-46AC-9B82-4ED900B74C05}"/>
              </c:ext>
            </c:extLst>
          </c:dPt>
          <c:dPt>
            <c:idx val="20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9055-46AC-9B82-4ED900B74C05}"/>
              </c:ext>
            </c:extLst>
          </c:dPt>
          <c:dPt>
            <c:idx val="21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9055-46AC-9B82-4ED900B74C05}"/>
              </c:ext>
            </c:extLst>
          </c:dPt>
          <c:dPt>
            <c:idx val="22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9055-46AC-9B82-4ED900B74C05}"/>
              </c:ext>
            </c:extLst>
          </c:dPt>
          <c:dPt>
            <c:idx val="23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9055-46AC-9B82-4ED900B74C05}"/>
              </c:ext>
            </c:extLst>
          </c:dPt>
          <c:dPt>
            <c:idx val="24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0-07E2-4621-9DAE-C031D099C911}"/>
              </c:ext>
            </c:extLst>
          </c:dPt>
          <c:cat>
            <c:strRef>
              <c:f>Sammanfattning!$C$44:$C$68</c:f>
              <c:strCache>
                <c:ptCount val="25"/>
                <c:pt idx="0">
                  <c:v>25. Öppetider helg</c:v>
                </c:pt>
                <c:pt idx="1">
                  <c:v>24. Öppetider vardag</c:v>
                </c:pt>
                <c:pt idx="2">
                  <c:v>23. Turtäthet kvällar och helger</c:v>
                </c:pt>
                <c:pt idx="3">
                  <c:v>22. Turtäthet dagtid</c:v>
                </c:pt>
                <c:pt idx="4">
                  <c:v>21. Regularitetsstöd</c:v>
                </c:pt>
                <c:pt idx="5">
                  <c:v>20. Påstigning i alla dörrar</c:v>
                </c:pt>
                <c:pt idx="6">
                  <c:v>19. Realtidsinformation</c:v>
                </c:pt>
                <c:pt idx="7">
                  <c:v>18. Identitet</c:v>
                </c:pt>
                <c:pt idx="8">
                  <c:v>17. Utrustning på hållplatser</c:v>
                </c:pt>
                <c:pt idx="9">
                  <c:v>16. Hållplatstyper och plant insteg</c:v>
                </c:pt>
                <c:pt idx="10">
                  <c:v>15. Svängande trafik</c:v>
                </c:pt>
                <c:pt idx="11">
                  <c:v>14. Bussprioritet i korsningar</c:v>
                </c:pt>
                <c:pt idx="12">
                  <c:v>13. Farthinder</c:v>
                </c:pt>
                <c:pt idx="13">
                  <c:v>12. Gatuparkering</c:v>
                </c:pt>
                <c:pt idx="14">
                  <c:v>11. Utfarter i busskörfält</c:v>
                </c:pt>
                <c:pt idx="15">
                  <c:v>10. Annan användning av busskörfälten</c:v>
                </c:pt>
                <c:pt idx="16">
                  <c:v>9. Busskörfältens placering</c:v>
                </c:pt>
                <c:pt idx="17">
                  <c:v>8. Busskörfält eller bussgata</c:v>
                </c:pt>
                <c:pt idx="18">
                  <c:v>7. Anslutningar till hållplatser</c:v>
                </c:pt>
                <c:pt idx="19">
                  <c:v>6. Cykelstråk</c:v>
                </c:pt>
                <c:pt idx="20">
                  <c:v>5. Barriäreffekt</c:v>
                </c:pt>
                <c:pt idx="21">
                  <c:v>4. Tvära kurvor</c:v>
                </c:pt>
                <c:pt idx="22">
                  <c:v>3. Hållplatsavstånd</c:v>
                </c:pt>
                <c:pt idx="23">
                  <c:v>2. Genhet</c:v>
                </c:pt>
                <c:pt idx="24">
                  <c:v>1. Samplanering</c:v>
                </c:pt>
              </c:strCache>
            </c:strRef>
          </c:cat>
          <c:val>
            <c:numRef>
              <c:f>Sammanfattning!$E$44:$E$68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1</c:v>
                </c:pt>
                <c:pt idx="3">
                  <c:v>0</c:v>
                </c:pt>
                <c:pt idx="4">
                  <c:v>2</c:v>
                </c:pt>
                <c:pt idx="5">
                  <c:v>1</c:v>
                </c:pt>
                <c:pt idx="6">
                  <c:v>0.21052631578947345</c:v>
                </c:pt>
                <c:pt idx="7">
                  <c:v>2</c:v>
                </c:pt>
                <c:pt idx="8">
                  <c:v>1.8157894736842106</c:v>
                </c:pt>
                <c:pt idx="9">
                  <c:v>6.1842105263157894</c:v>
                </c:pt>
                <c:pt idx="10">
                  <c:v>3</c:v>
                </c:pt>
                <c:pt idx="11">
                  <c:v>1.3999999999999995</c:v>
                </c:pt>
                <c:pt idx="12">
                  <c:v>3</c:v>
                </c:pt>
                <c:pt idx="13">
                  <c:v>2.3283582089552239</c:v>
                </c:pt>
                <c:pt idx="14">
                  <c:v>2</c:v>
                </c:pt>
                <c:pt idx="15">
                  <c:v>0</c:v>
                </c:pt>
                <c:pt idx="16">
                  <c:v>2.2132623823168238</c:v>
                </c:pt>
                <c:pt idx="17">
                  <c:v>4.4410746268656718</c:v>
                </c:pt>
                <c:pt idx="18">
                  <c:v>1</c:v>
                </c:pt>
                <c:pt idx="19" formatCode="0.0">
                  <c:v>1</c:v>
                </c:pt>
                <c:pt idx="20">
                  <c:v>0.31578947368421062</c:v>
                </c:pt>
                <c:pt idx="21">
                  <c:v>2.3734939759036138</c:v>
                </c:pt>
                <c:pt idx="22">
                  <c:v>3</c:v>
                </c:pt>
                <c:pt idx="23">
                  <c:v>0.59100688468158502</c:v>
                </c:pt>
                <c:pt idx="2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55-46AC-9B82-4ED900B74C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540655215"/>
        <c:axId val="1540657135"/>
      </c:barChart>
      <c:catAx>
        <c:axId val="15406552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sv-SE"/>
          </a:p>
        </c:txPr>
        <c:crossAx val="1540657135"/>
        <c:crosses val="autoZero"/>
        <c:auto val="1"/>
        <c:lblAlgn val="ctr"/>
        <c:lblOffset val="100"/>
        <c:noMultiLvlLbl val="0"/>
      </c:catAx>
      <c:valAx>
        <c:axId val="1540657135"/>
        <c:scaling>
          <c:orientation val="minMax"/>
          <c:max val="1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  <c:crossAx val="15406552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sv-S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554831</xdr:colOff>
      <xdr:row>4</xdr:row>
      <xdr:rowOff>150017</xdr:rowOff>
    </xdr:from>
    <xdr:to>
      <xdr:col>19</xdr:col>
      <xdr:colOff>466725</xdr:colOff>
      <xdr:row>18</xdr:row>
      <xdr:rowOff>75017</xdr:rowOff>
    </xdr:to>
    <xdr:graphicFrame macro="">
      <xdr:nvGraphicFramePr>
        <xdr:cNvPr id="2" name="Diagram 1">
          <a:extLst>
            <a:ext uri="{FF2B5EF4-FFF2-40B4-BE49-F238E27FC236}">
              <a16:creationId xmlns:a16="http://schemas.microsoft.com/office/drawing/2014/main" id="{70CC2916-8621-C2BE-5721-9748ADC262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571499</xdr:colOff>
      <xdr:row>24</xdr:row>
      <xdr:rowOff>38100</xdr:rowOff>
    </xdr:from>
    <xdr:to>
      <xdr:col>21</xdr:col>
      <xdr:colOff>247649</xdr:colOff>
      <xdr:row>48</xdr:row>
      <xdr:rowOff>104775</xdr:rowOff>
    </xdr:to>
    <xdr:graphicFrame macro="">
      <xdr:nvGraphicFramePr>
        <xdr:cNvPr id="3" name="Diagram 2">
          <a:extLst>
            <a:ext uri="{FF2B5EF4-FFF2-40B4-BE49-F238E27FC236}">
              <a16:creationId xmlns:a16="http://schemas.microsoft.com/office/drawing/2014/main" id="{52A094C0-11DD-4E95-8DC5-E9278F63EE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428624</xdr:colOff>
      <xdr:row>48</xdr:row>
      <xdr:rowOff>63101</xdr:rowOff>
    </xdr:from>
    <xdr:to>
      <xdr:col>16</xdr:col>
      <xdr:colOff>59530</xdr:colOff>
      <xdr:row>79</xdr:row>
      <xdr:rowOff>59530</xdr:rowOff>
    </xdr:to>
    <xdr:graphicFrame macro="">
      <xdr:nvGraphicFramePr>
        <xdr:cNvPr id="13" name="Diagram 12">
          <a:extLst>
            <a:ext uri="{FF2B5EF4-FFF2-40B4-BE49-F238E27FC236}">
              <a16:creationId xmlns:a16="http://schemas.microsoft.com/office/drawing/2014/main" id="{43F9ACC6-8D40-A243-A31C-5EC21F9583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17638</xdr:colOff>
      <xdr:row>96</xdr:row>
      <xdr:rowOff>33227</xdr:rowOff>
    </xdr:from>
    <xdr:to>
      <xdr:col>15</xdr:col>
      <xdr:colOff>132292</xdr:colOff>
      <xdr:row>99</xdr:row>
      <xdr:rowOff>562178</xdr:rowOff>
    </xdr:to>
    <xdr:pic>
      <xdr:nvPicPr>
        <xdr:cNvPr id="2" name="Bildobjekt 1">
          <a:extLst>
            <a:ext uri="{FF2B5EF4-FFF2-40B4-BE49-F238E27FC236}">
              <a16:creationId xmlns:a16="http://schemas.microsoft.com/office/drawing/2014/main" id="{35E16EF0-D6A9-C8AC-D47B-CDC66DA0C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19721" y="20220935"/>
          <a:ext cx="3924654" cy="2627979"/>
        </a:xfrm>
        <a:prstGeom prst="rect">
          <a:avLst/>
        </a:prstGeom>
      </xdr:spPr>
    </xdr:pic>
    <xdr:clientData/>
  </xdr:twoCellAnchor>
  <xdr:twoCellAnchor editAs="oneCell">
    <xdr:from>
      <xdr:col>16</xdr:col>
      <xdr:colOff>17638</xdr:colOff>
      <xdr:row>96</xdr:row>
      <xdr:rowOff>141111</xdr:rowOff>
    </xdr:from>
    <xdr:to>
      <xdr:col>23</xdr:col>
      <xdr:colOff>271877</xdr:colOff>
      <xdr:row>100</xdr:row>
      <xdr:rowOff>0</xdr:rowOff>
    </xdr:to>
    <xdr:pic>
      <xdr:nvPicPr>
        <xdr:cNvPr id="3" name="Bildobjekt 2">
          <a:extLst>
            <a:ext uri="{FF2B5EF4-FFF2-40B4-BE49-F238E27FC236}">
              <a16:creationId xmlns:a16="http://schemas.microsoft.com/office/drawing/2014/main" id="{E31D10E3-FD37-1B13-D546-2A78E7E47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479513" y="20328819"/>
          <a:ext cx="4514031" cy="2531181"/>
        </a:xfrm>
        <a:prstGeom prst="rect">
          <a:avLst/>
        </a:prstGeom>
      </xdr:spPr>
    </xdr:pic>
    <xdr:clientData/>
  </xdr:twoCellAnchor>
  <xdr:twoCellAnchor editAs="oneCell">
    <xdr:from>
      <xdr:col>24</xdr:col>
      <xdr:colOff>8822</xdr:colOff>
      <xdr:row>96</xdr:row>
      <xdr:rowOff>282221</xdr:rowOff>
    </xdr:from>
    <xdr:to>
      <xdr:col>33</xdr:col>
      <xdr:colOff>459247</xdr:colOff>
      <xdr:row>100</xdr:row>
      <xdr:rowOff>8818</xdr:rowOff>
    </xdr:to>
    <xdr:pic>
      <xdr:nvPicPr>
        <xdr:cNvPr id="4" name="Bildobjekt 3">
          <a:extLst>
            <a:ext uri="{FF2B5EF4-FFF2-40B4-BE49-F238E27FC236}">
              <a16:creationId xmlns:a16="http://schemas.microsoft.com/office/drawing/2014/main" id="{24F585AF-B491-EF18-1CCB-7E13EFFA6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339030" y="20469929"/>
          <a:ext cx="5927300" cy="239888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37</xdr:row>
      <xdr:rowOff>79375</xdr:rowOff>
    </xdr:from>
    <xdr:to>
      <xdr:col>16</xdr:col>
      <xdr:colOff>317192</xdr:colOff>
      <xdr:row>47</xdr:row>
      <xdr:rowOff>179582</xdr:rowOff>
    </xdr:to>
    <xdr:pic>
      <xdr:nvPicPr>
        <xdr:cNvPr id="5" name="Bildobjekt 4">
          <a:extLst>
            <a:ext uri="{FF2B5EF4-FFF2-40B4-BE49-F238E27FC236}">
              <a16:creationId xmlns:a16="http://schemas.microsoft.com/office/drawing/2014/main" id="{F03948AD-0405-C358-E677-1EB29CD95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565694" y="8016875"/>
          <a:ext cx="2848373" cy="2657846"/>
        </a:xfrm>
        <a:prstGeom prst="rect">
          <a:avLst/>
        </a:prstGeom>
      </xdr:spPr>
    </xdr:pic>
    <xdr:clientData/>
  </xdr:twoCellAnchor>
  <xdr:twoCellAnchor editAs="oneCell">
    <xdr:from>
      <xdr:col>17</xdr:col>
      <xdr:colOff>35277</xdr:colOff>
      <xdr:row>37</xdr:row>
      <xdr:rowOff>52916</xdr:rowOff>
    </xdr:from>
    <xdr:to>
      <xdr:col>20</xdr:col>
      <xdr:colOff>19655</xdr:colOff>
      <xdr:row>47</xdr:row>
      <xdr:rowOff>191228</xdr:rowOff>
    </xdr:to>
    <xdr:pic>
      <xdr:nvPicPr>
        <xdr:cNvPr id="6" name="Bildobjekt 5">
          <a:extLst>
            <a:ext uri="{FF2B5EF4-FFF2-40B4-BE49-F238E27FC236}">
              <a16:creationId xmlns:a16="http://schemas.microsoft.com/office/drawing/2014/main" id="{F3F75CA4-9791-08BA-492B-D2FE5A3C2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643680" y="7990416"/>
          <a:ext cx="1810003" cy="2695951"/>
        </a:xfrm>
        <a:prstGeom prst="rect">
          <a:avLst/>
        </a:prstGeom>
      </xdr:spPr>
    </xdr:pic>
    <xdr:clientData/>
  </xdr:twoCellAnchor>
  <xdr:twoCellAnchor editAs="oneCell">
    <xdr:from>
      <xdr:col>16</xdr:col>
      <xdr:colOff>9490</xdr:colOff>
      <xdr:row>101</xdr:row>
      <xdr:rowOff>79374</xdr:rowOff>
    </xdr:from>
    <xdr:to>
      <xdr:col>22</xdr:col>
      <xdr:colOff>518753</xdr:colOff>
      <xdr:row>106</xdr:row>
      <xdr:rowOff>476250</xdr:rowOff>
    </xdr:to>
    <xdr:pic>
      <xdr:nvPicPr>
        <xdr:cNvPr id="7" name="Bildobjekt 6">
          <a:extLst>
            <a:ext uri="{FF2B5EF4-FFF2-40B4-BE49-F238E27FC236}">
              <a16:creationId xmlns:a16="http://schemas.microsoft.com/office/drawing/2014/main" id="{5D6344B1-FED8-F681-7914-F58538601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09351" y="23133402"/>
          <a:ext cx="4160513" cy="2310695"/>
        </a:xfrm>
        <a:prstGeom prst="rect">
          <a:avLst/>
        </a:prstGeom>
      </xdr:spPr>
    </xdr:pic>
    <xdr:clientData/>
  </xdr:twoCellAnchor>
  <xdr:twoCellAnchor editAs="oneCell">
    <xdr:from>
      <xdr:col>12</xdr:col>
      <xdr:colOff>17640</xdr:colOff>
      <xdr:row>50</xdr:row>
      <xdr:rowOff>79375</xdr:rowOff>
    </xdr:from>
    <xdr:to>
      <xdr:col>17</xdr:col>
      <xdr:colOff>308681</xdr:colOff>
      <xdr:row>61</xdr:row>
      <xdr:rowOff>166104</xdr:rowOff>
    </xdr:to>
    <xdr:pic>
      <xdr:nvPicPr>
        <xdr:cNvPr id="8" name="Bildobjekt 7">
          <a:extLst>
            <a:ext uri="{FF2B5EF4-FFF2-40B4-BE49-F238E27FC236}">
              <a16:creationId xmlns:a16="http://schemas.microsoft.com/office/drawing/2014/main" id="{7BFDEB4D-237D-6446-3A9C-1B7033CB29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83334" y="11156597"/>
          <a:ext cx="3430764" cy="2221035"/>
        </a:xfrm>
        <a:prstGeom prst="rect">
          <a:avLst/>
        </a:prstGeom>
      </xdr:spPr>
    </xdr:pic>
    <xdr:clientData/>
  </xdr:twoCellAnchor>
  <xdr:twoCellAnchor editAs="oneCell">
    <xdr:from>
      <xdr:col>18</xdr:col>
      <xdr:colOff>26459</xdr:colOff>
      <xdr:row>51</xdr:row>
      <xdr:rowOff>49923</xdr:rowOff>
    </xdr:from>
    <xdr:to>
      <xdr:col>24</xdr:col>
      <xdr:colOff>414515</xdr:colOff>
      <xdr:row>61</xdr:row>
      <xdr:rowOff>163424</xdr:rowOff>
    </xdr:to>
    <xdr:pic>
      <xdr:nvPicPr>
        <xdr:cNvPr id="9" name="Bildobjekt 8">
          <a:extLst>
            <a:ext uri="{FF2B5EF4-FFF2-40B4-BE49-F238E27FC236}">
              <a16:creationId xmlns:a16="http://schemas.microsoft.com/office/drawing/2014/main" id="{E466C8E4-31E3-3DB1-8CED-6BCD1178F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243403" y="11321173"/>
          <a:ext cx="4039306" cy="2053779"/>
        </a:xfrm>
        <a:prstGeom prst="rect">
          <a:avLst/>
        </a:prstGeom>
      </xdr:spPr>
    </xdr:pic>
    <xdr:clientData/>
  </xdr:twoCellAnchor>
  <xdr:twoCellAnchor editAs="oneCell">
    <xdr:from>
      <xdr:col>12</xdr:col>
      <xdr:colOff>26459</xdr:colOff>
      <xdr:row>63</xdr:row>
      <xdr:rowOff>52917</xdr:rowOff>
    </xdr:from>
    <xdr:to>
      <xdr:col>17</xdr:col>
      <xdr:colOff>176389</xdr:colOff>
      <xdr:row>76</xdr:row>
      <xdr:rowOff>190463</xdr:rowOff>
    </xdr:to>
    <xdr:pic>
      <xdr:nvPicPr>
        <xdr:cNvPr id="10" name="Bildobjekt 9">
          <a:extLst>
            <a:ext uri="{FF2B5EF4-FFF2-40B4-BE49-F238E27FC236}">
              <a16:creationId xmlns:a16="http://schemas.microsoft.com/office/drawing/2014/main" id="{03BCF609-058A-E663-F240-02296DAB5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592153" y="13652500"/>
          <a:ext cx="3289653" cy="2659907"/>
        </a:xfrm>
        <a:prstGeom prst="rect">
          <a:avLst/>
        </a:prstGeom>
      </xdr:spPr>
    </xdr:pic>
    <xdr:clientData/>
  </xdr:twoCellAnchor>
  <xdr:twoCellAnchor editAs="oneCell">
    <xdr:from>
      <xdr:col>18</xdr:col>
      <xdr:colOff>26459</xdr:colOff>
      <xdr:row>63</xdr:row>
      <xdr:rowOff>24615</xdr:rowOff>
    </xdr:from>
    <xdr:to>
      <xdr:col>22</xdr:col>
      <xdr:colOff>432153</xdr:colOff>
      <xdr:row>76</xdr:row>
      <xdr:rowOff>138895</xdr:rowOff>
    </xdr:to>
    <xdr:pic>
      <xdr:nvPicPr>
        <xdr:cNvPr id="11" name="Bildobjekt 10">
          <a:extLst>
            <a:ext uri="{FF2B5EF4-FFF2-40B4-BE49-F238E27FC236}">
              <a16:creationId xmlns:a16="http://schemas.microsoft.com/office/drawing/2014/main" id="{23DBAC7A-94BE-7849-58B4-181098AEA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243403" y="13624198"/>
          <a:ext cx="2839861" cy="2636641"/>
        </a:xfrm>
        <a:prstGeom prst="rect">
          <a:avLst/>
        </a:prstGeom>
      </xdr:spPr>
    </xdr:pic>
    <xdr:clientData/>
  </xdr:twoCellAnchor>
  <xdr:twoCellAnchor editAs="oneCell">
    <xdr:from>
      <xdr:col>22</xdr:col>
      <xdr:colOff>582083</xdr:colOff>
      <xdr:row>73</xdr:row>
      <xdr:rowOff>52917</xdr:rowOff>
    </xdr:from>
    <xdr:to>
      <xdr:col>27</xdr:col>
      <xdr:colOff>38570</xdr:colOff>
      <xdr:row>85</xdr:row>
      <xdr:rowOff>125209</xdr:rowOff>
    </xdr:to>
    <xdr:pic>
      <xdr:nvPicPr>
        <xdr:cNvPr id="12" name="Bildobjekt 11">
          <a:extLst>
            <a:ext uri="{FF2B5EF4-FFF2-40B4-BE49-F238E27FC236}">
              <a16:creationId xmlns:a16="http://schemas.microsoft.com/office/drawing/2014/main" id="{675FEE54-B59B-9369-BDA7-18731212A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233194" y="15592778"/>
          <a:ext cx="2499195" cy="2585834"/>
        </a:xfrm>
        <a:prstGeom prst="rect">
          <a:avLst/>
        </a:prstGeom>
      </xdr:spPr>
    </xdr:pic>
    <xdr:clientData/>
  </xdr:twoCellAnchor>
  <xdr:twoCellAnchor editAs="oneCell">
    <xdr:from>
      <xdr:col>23</xdr:col>
      <xdr:colOff>52916</xdr:colOff>
      <xdr:row>62</xdr:row>
      <xdr:rowOff>61736</xdr:rowOff>
    </xdr:from>
    <xdr:to>
      <xdr:col>27</xdr:col>
      <xdr:colOff>295648</xdr:colOff>
      <xdr:row>73</xdr:row>
      <xdr:rowOff>20017</xdr:rowOff>
    </xdr:to>
    <xdr:pic>
      <xdr:nvPicPr>
        <xdr:cNvPr id="13" name="Bildobjekt 12">
          <a:extLst>
            <a:ext uri="{FF2B5EF4-FFF2-40B4-BE49-F238E27FC236}">
              <a16:creationId xmlns:a16="http://schemas.microsoft.com/office/drawing/2014/main" id="{05ED21EE-BCC9-17CE-74DB-EE47805AB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312569" y="13467292"/>
          <a:ext cx="2676898" cy="2092586"/>
        </a:xfrm>
        <a:prstGeom prst="rect">
          <a:avLst/>
        </a:prstGeom>
      </xdr:spPr>
    </xdr:pic>
    <xdr:clientData/>
  </xdr:twoCellAnchor>
  <xdr:twoCellAnchor editAs="oneCell">
    <xdr:from>
      <xdr:col>18</xdr:col>
      <xdr:colOff>176390</xdr:colOff>
      <xdr:row>76</xdr:row>
      <xdr:rowOff>129051</xdr:rowOff>
    </xdr:from>
    <xdr:to>
      <xdr:col>22</xdr:col>
      <xdr:colOff>423334</xdr:colOff>
      <xdr:row>88</xdr:row>
      <xdr:rowOff>42504</xdr:rowOff>
    </xdr:to>
    <xdr:pic>
      <xdr:nvPicPr>
        <xdr:cNvPr id="14" name="Bildobjekt 13">
          <a:extLst>
            <a:ext uri="{FF2B5EF4-FFF2-40B4-BE49-F238E27FC236}">
              <a16:creationId xmlns:a16="http://schemas.microsoft.com/office/drawing/2014/main" id="{AD45EE84-2952-3369-2043-A4CF391BE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393334" y="16250995"/>
          <a:ext cx="2681111" cy="2426995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N72"/>
  <sheetViews>
    <sheetView topLeftCell="C1" zoomScaleNormal="100" workbookViewId="0">
      <selection activeCell="G41" sqref="G41"/>
    </sheetView>
  </sheetViews>
  <sheetFormatPr defaultRowHeight="15" x14ac:dyDescent="0.25"/>
  <cols>
    <col min="3" max="3" width="39.28515625" customWidth="1"/>
    <col min="4" max="4" width="14.42578125" customWidth="1"/>
    <col min="12" max="12" width="32.42578125" bestFit="1" customWidth="1"/>
    <col min="13" max="13" width="10.7109375" customWidth="1"/>
    <col min="14" max="14" width="9.85546875" customWidth="1"/>
  </cols>
  <sheetData>
    <row r="2" spans="2:14" x14ac:dyDescent="0.25">
      <c r="C2" t="s">
        <v>210</v>
      </c>
    </row>
    <row r="3" spans="2:14" x14ac:dyDescent="0.25">
      <c r="B3" s="33" t="s">
        <v>177</v>
      </c>
      <c r="C3" s="34"/>
      <c r="D3" s="34"/>
      <c r="E3" s="34"/>
    </row>
    <row r="4" spans="2:14" x14ac:dyDescent="0.25">
      <c r="B4" s="13"/>
      <c r="C4" s="25" t="s">
        <v>175</v>
      </c>
      <c r="D4" s="25" t="s">
        <v>31</v>
      </c>
      <c r="E4" s="25" t="s">
        <v>176</v>
      </c>
      <c r="L4" t="s">
        <v>0</v>
      </c>
      <c r="M4" s="30">
        <f>D12</f>
        <v>9.7197096657305906</v>
      </c>
      <c r="N4" s="30">
        <f>M4/SUM($M$4:$M$7)</f>
        <v>0.17014365811014109</v>
      </c>
    </row>
    <row r="5" spans="2:14" x14ac:dyDescent="0.25">
      <c r="B5" s="14"/>
      <c r="C5" t="s">
        <v>1</v>
      </c>
      <c r="D5" s="1">
        <f>SUM('Stadens utformning'!E5:E6)</f>
        <v>2</v>
      </c>
      <c r="E5" s="1">
        <v>2</v>
      </c>
      <c r="L5" t="s">
        <v>13</v>
      </c>
      <c r="M5" s="30">
        <f>D25</f>
        <v>19.617304781862281</v>
      </c>
      <c r="N5" s="30">
        <f>M5/SUM($M$4:$M$7)</f>
        <v>0.34340120359929766</v>
      </c>
    </row>
    <row r="6" spans="2:14" x14ac:dyDescent="0.25">
      <c r="B6" s="14"/>
      <c r="C6" s="28" t="s">
        <v>2</v>
      </c>
      <c r="D6" s="11">
        <f>SUM('Stadens utformning'!F9:F12)</f>
        <v>2.408993115318415</v>
      </c>
      <c r="E6" s="1">
        <v>3</v>
      </c>
      <c r="L6" t="s">
        <v>8</v>
      </c>
      <c r="M6" s="30">
        <f>D32</f>
        <v>14.789473684210527</v>
      </c>
      <c r="N6" s="30">
        <f>M6/SUM($M$4:$M$7)</f>
        <v>0.258889950491757</v>
      </c>
    </row>
    <row r="7" spans="2:14" x14ac:dyDescent="0.25">
      <c r="B7" s="14"/>
      <c r="C7" s="28" t="s">
        <v>3</v>
      </c>
      <c r="D7" s="11">
        <f>'Stadens utformning'!G22</f>
        <v>1.9999999999999998</v>
      </c>
      <c r="E7" s="1">
        <v>5</v>
      </c>
      <c r="L7" t="s">
        <v>24</v>
      </c>
      <c r="M7" s="30">
        <f>D39</f>
        <v>13</v>
      </c>
      <c r="N7" s="30">
        <f>M7/SUM($M$4:$M$7)</f>
        <v>0.22756518779880419</v>
      </c>
    </row>
    <row r="8" spans="2:14" x14ac:dyDescent="0.25">
      <c r="B8" s="14"/>
      <c r="C8" s="28" t="s">
        <v>4</v>
      </c>
      <c r="D8" s="11">
        <f>'Stadens utformning'!G44</f>
        <v>0.62650602409638623</v>
      </c>
      <c r="E8" s="1">
        <v>3</v>
      </c>
      <c r="M8" s="30"/>
      <c r="N8" s="30"/>
    </row>
    <row r="9" spans="2:14" x14ac:dyDescent="0.25">
      <c r="B9" s="14"/>
      <c r="C9" s="28" t="s">
        <v>5</v>
      </c>
      <c r="D9" s="11">
        <f>'Stadens utformning'!G49</f>
        <v>2.6842105263157894</v>
      </c>
      <c r="E9" s="1">
        <v>3</v>
      </c>
      <c r="M9" s="30"/>
      <c r="N9" s="30"/>
    </row>
    <row r="10" spans="2:14" x14ac:dyDescent="0.25">
      <c r="B10" s="14"/>
      <c r="C10" s="28" t="s">
        <v>6</v>
      </c>
      <c r="D10" s="11">
        <f>'Stadens utformning'!G55</f>
        <v>1</v>
      </c>
      <c r="E10" s="1">
        <v>2</v>
      </c>
      <c r="L10" t="s">
        <v>0</v>
      </c>
      <c r="M10" s="31">
        <f>D12</f>
        <v>9.7197096657305906</v>
      </c>
      <c r="N10" s="30"/>
    </row>
    <row r="11" spans="2:14" x14ac:dyDescent="0.25">
      <c r="B11" s="14"/>
      <c r="C11" s="28" t="s">
        <v>7</v>
      </c>
      <c r="D11" s="11">
        <f>'Stadens utformning'!G60</f>
        <v>1</v>
      </c>
      <c r="E11" s="1">
        <v>2</v>
      </c>
      <c r="L11" t="s">
        <v>178</v>
      </c>
      <c r="M11" s="31">
        <f>E12-M10</f>
        <v>10.280290334269409</v>
      </c>
      <c r="N11" s="30"/>
    </row>
    <row r="12" spans="2:14" x14ac:dyDescent="0.25">
      <c r="B12" s="15"/>
      <c r="C12" s="28" t="s">
        <v>63</v>
      </c>
      <c r="D12" s="11">
        <f>SUM(D6:D11)</f>
        <v>9.7197096657305906</v>
      </c>
      <c r="E12" s="11">
        <f>SUM(E5:E11)</f>
        <v>20</v>
      </c>
      <c r="F12">
        <f>D12/E12</f>
        <v>0.48598548328652952</v>
      </c>
      <c r="L12" t="s">
        <v>13</v>
      </c>
      <c r="M12" s="31">
        <f>D25</f>
        <v>19.617304781862281</v>
      </c>
      <c r="N12" s="30"/>
    </row>
    <row r="13" spans="2:14" x14ac:dyDescent="0.25">
      <c r="B13" s="35" t="s">
        <v>13</v>
      </c>
      <c r="C13" s="34"/>
      <c r="D13" s="34"/>
      <c r="E13" s="34"/>
      <c r="L13" t="s">
        <v>179</v>
      </c>
      <c r="M13" s="31">
        <f>E25-D25</f>
        <v>26.382695218137719</v>
      </c>
      <c r="N13" s="30"/>
    </row>
    <row r="14" spans="2:14" x14ac:dyDescent="0.25">
      <c r="B14" s="16"/>
      <c r="C14" s="25" t="s">
        <v>175</v>
      </c>
      <c r="D14" s="25" t="s">
        <v>31</v>
      </c>
      <c r="E14" s="25" t="s">
        <v>176</v>
      </c>
      <c r="L14" t="s">
        <v>8</v>
      </c>
      <c r="M14" s="31">
        <f>D32</f>
        <v>14.789473684210527</v>
      </c>
      <c r="N14" s="30"/>
    </row>
    <row r="15" spans="2:14" x14ac:dyDescent="0.25">
      <c r="B15" s="17"/>
      <c r="C15" s="28" t="s">
        <v>14</v>
      </c>
      <c r="D15" s="11">
        <f>'Kollektivtrafikens infrastruktu'!G9</f>
        <v>3.5589253731343282</v>
      </c>
      <c r="E15" s="1">
        <v>8</v>
      </c>
      <c r="L15" t="s">
        <v>180</v>
      </c>
      <c r="M15" s="31">
        <f>E32-D32</f>
        <v>5.2105263157894726</v>
      </c>
      <c r="N15" s="30"/>
    </row>
    <row r="16" spans="2:14" x14ac:dyDescent="0.25">
      <c r="B16" s="17"/>
      <c r="C16" s="28" t="s">
        <v>15</v>
      </c>
      <c r="D16" s="11">
        <f>'Kollektivtrafikens infrastruktu'!G44</f>
        <v>1.7867376176831764</v>
      </c>
      <c r="E16" s="1">
        <v>4</v>
      </c>
      <c r="L16" t="s">
        <v>24</v>
      </c>
      <c r="M16" s="31">
        <f>D39</f>
        <v>13</v>
      </c>
      <c r="N16" s="30"/>
    </row>
    <row r="17" spans="2:14" x14ac:dyDescent="0.25">
      <c r="B17" s="17"/>
      <c r="C17" s="28" t="s">
        <v>16</v>
      </c>
      <c r="D17" s="11">
        <f>'Kollektivtrafikens infrastruktu'!G51</f>
        <v>3</v>
      </c>
      <c r="E17" s="1">
        <v>3</v>
      </c>
      <c r="L17" t="s">
        <v>181</v>
      </c>
      <c r="M17" s="31">
        <f>E39-D39</f>
        <v>1</v>
      </c>
      <c r="N17" s="30"/>
    </row>
    <row r="18" spans="2:14" x14ac:dyDescent="0.25">
      <c r="B18" s="17"/>
      <c r="C18" s="28" t="s">
        <v>17</v>
      </c>
      <c r="D18" s="11">
        <f>'Kollektivtrafikens infrastruktu'!G58</f>
        <v>0</v>
      </c>
      <c r="E18" s="1">
        <v>2</v>
      </c>
    </row>
    <row r="19" spans="2:14" x14ac:dyDescent="0.25">
      <c r="B19" s="17"/>
      <c r="C19" s="28" t="s">
        <v>18</v>
      </c>
      <c r="D19" s="11">
        <f>'Kollektivtrafikens infrastruktu'!G66</f>
        <v>0.67164179104477606</v>
      </c>
      <c r="E19" s="1">
        <v>3</v>
      </c>
    </row>
    <row r="20" spans="2:14" x14ac:dyDescent="0.25">
      <c r="B20" s="17"/>
      <c r="C20" s="28" t="s">
        <v>19</v>
      </c>
      <c r="D20" s="11">
        <f>'Kollektivtrafikens infrastruktu'!G73</f>
        <v>0</v>
      </c>
      <c r="E20" s="1">
        <v>3</v>
      </c>
    </row>
    <row r="21" spans="2:14" x14ac:dyDescent="0.25">
      <c r="B21" s="17"/>
      <c r="C21" t="s">
        <v>20</v>
      </c>
      <c r="D21" s="11">
        <f>'Kollektivtrafikens infrastruktu'!G79</f>
        <v>5.6000000000000005</v>
      </c>
      <c r="E21" s="1">
        <v>7</v>
      </c>
    </row>
    <row r="22" spans="2:14" x14ac:dyDescent="0.25">
      <c r="B22" s="17"/>
      <c r="C22" s="28" t="s">
        <v>21</v>
      </c>
      <c r="D22" s="11">
        <f>'Kollektivtrafikens infrastruktu'!G87</f>
        <v>0</v>
      </c>
      <c r="E22" s="1">
        <v>3</v>
      </c>
    </row>
    <row r="23" spans="2:14" x14ac:dyDescent="0.25">
      <c r="B23" s="17"/>
      <c r="C23" s="28" t="s">
        <v>22</v>
      </c>
      <c r="D23" s="11">
        <f>'Kollektivtrafikens infrastruktu'!G101</f>
        <v>3.8157894736842106</v>
      </c>
      <c r="E23" s="1">
        <v>10</v>
      </c>
    </row>
    <row r="24" spans="2:14" x14ac:dyDescent="0.25">
      <c r="B24" s="17"/>
      <c r="C24" s="28" t="s">
        <v>23</v>
      </c>
      <c r="D24" s="11">
        <f>'Kollektivtrafikens infrastruktu'!G109</f>
        <v>1.1842105263157894</v>
      </c>
      <c r="E24" s="1">
        <v>3</v>
      </c>
    </row>
    <row r="25" spans="2:14" x14ac:dyDescent="0.25">
      <c r="B25" s="18"/>
      <c r="C25" s="28" t="s">
        <v>63</v>
      </c>
      <c r="D25" s="11">
        <f>SUM(D15:D24)</f>
        <v>19.617304781862281</v>
      </c>
      <c r="E25" s="11">
        <f>SUM(E15:E24)</f>
        <v>46</v>
      </c>
      <c r="F25">
        <f>D25/E25</f>
        <v>0.4264631474317887</v>
      </c>
    </row>
    <row r="26" spans="2:14" x14ac:dyDescent="0.25">
      <c r="B26" s="35" t="s">
        <v>8</v>
      </c>
      <c r="C26" s="34"/>
      <c r="D26" s="34"/>
      <c r="E26" s="34"/>
    </row>
    <row r="27" spans="2:14" x14ac:dyDescent="0.25">
      <c r="B27" s="19"/>
      <c r="C27" s="25" t="s">
        <v>175</v>
      </c>
      <c r="D27" s="25" t="s">
        <v>31</v>
      </c>
      <c r="E27" s="25" t="s">
        <v>176</v>
      </c>
    </row>
    <row r="28" spans="2:14" x14ac:dyDescent="0.25">
      <c r="B28" s="20"/>
      <c r="C28" s="1" t="s">
        <v>9</v>
      </c>
      <c r="D28" s="11">
        <f>'Fordon och Stödsystem'!F7</f>
        <v>2</v>
      </c>
      <c r="E28" s="1">
        <v>4</v>
      </c>
    </row>
    <row r="29" spans="2:14" x14ac:dyDescent="0.25">
      <c r="B29" s="20"/>
      <c r="C29" s="1" t="s">
        <v>10</v>
      </c>
      <c r="D29" s="11">
        <f>'Fordon och Stödsystem'!G12</f>
        <v>3.7894736842105265</v>
      </c>
      <c r="E29" s="1">
        <v>4</v>
      </c>
    </row>
    <row r="30" spans="2:14" x14ac:dyDescent="0.25">
      <c r="B30" s="20"/>
      <c r="C30" s="1" t="s">
        <v>11</v>
      </c>
      <c r="D30" s="11">
        <f>'Fordon och Stödsystem'!F17</f>
        <v>9</v>
      </c>
      <c r="E30" s="1">
        <v>10</v>
      </c>
    </row>
    <row r="31" spans="2:14" x14ac:dyDescent="0.25">
      <c r="B31" s="20"/>
      <c r="C31" s="1" t="s">
        <v>12</v>
      </c>
      <c r="D31" s="11">
        <f>'Fordon och Stödsystem'!F20</f>
        <v>0</v>
      </c>
      <c r="E31" s="1">
        <v>2</v>
      </c>
    </row>
    <row r="32" spans="2:14" x14ac:dyDescent="0.25">
      <c r="B32" s="21"/>
      <c r="C32" s="28" t="s">
        <v>63</v>
      </c>
      <c r="D32" s="11">
        <f>SUM(D28:D31)</f>
        <v>14.789473684210527</v>
      </c>
      <c r="E32" s="1">
        <f>SUM(E28:E31)</f>
        <v>20</v>
      </c>
      <c r="F32">
        <f>D32/E32</f>
        <v>0.73947368421052639</v>
      </c>
    </row>
    <row r="33" spans="2:6" x14ac:dyDescent="0.25">
      <c r="B33" s="35" t="s">
        <v>24</v>
      </c>
      <c r="C33" s="34"/>
      <c r="D33" s="34"/>
      <c r="E33" s="34"/>
    </row>
    <row r="34" spans="2:6" x14ac:dyDescent="0.25">
      <c r="B34" s="22"/>
      <c r="C34" s="25" t="s">
        <v>175</v>
      </c>
      <c r="D34" s="25" t="s">
        <v>31</v>
      </c>
      <c r="E34" s="25" t="s">
        <v>176</v>
      </c>
    </row>
    <row r="35" spans="2:6" x14ac:dyDescent="0.25">
      <c r="B35" s="23"/>
      <c r="C35" s="28" t="s">
        <v>25</v>
      </c>
      <c r="D35" s="1">
        <f>Trafikering!F8</f>
        <v>4</v>
      </c>
      <c r="E35" s="1">
        <v>4</v>
      </c>
    </row>
    <row r="36" spans="2:6" x14ac:dyDescent="0.25">
      <c r="B36" s="23"/>
      <c r="C36" s="28" t="s">
        <v>26</v>
      </c>
      <c r="D36" s="1">
        <f>Trafikering!F15</f>
        <v>3</v>
      </c>
      <c r="E36" s="1">
        <v>4</v>
      </c>
    </row>
    <row r="37" spans="2:6" x14ac:dyDescent="0.25">
      <c r="B37" s="23"/>
      <c r="C37" s="28" t="s">
        <v>27</v>
      </c>
      <c r="D37" s="1">
        <f>Trafikering!F22</f>
        <v>3</v>
      </c>
      <c r="E37" s="1">
        <v>3</v>
      </c>
    </row>
    <row r="38" spans="2:6" x14ac:dyDescent="0.25">
      <c r="B38" s="23"/>
      <c r="C38" s="28" t="s">
        <v>28</v>
      </c>
      <c r="D38" s="1">
        <f>Trafikering!F29</f>
        <v>3</v>
      </c>
      <c r="E38" s="1">
        <v>3</v>
      </c>
    </row>
    <row r="39" spans="2:6" x14ac:dyDescent="0.25">
      <c r="B39" s="24"/>
      <c r="C39" s="28" t="s">
        <v>63</v>
      </c>
      <c r="D39" s="1">
        <f>SUM(D35:D38)</f>
        <v>13</v>
      </c>
      <c r="E39" s="1">
        <f>SUM(E35:E38)</f>
        <v>14</v>
      </c>
      <c r="F39">
        <f>D39/E39</f>
        <v>0.9285714285714286</v>
      </c>
    </row>
    <row r="40" spans="2:6" x14ac:dyDescent="0.25">
      <c r="B40" s="29"/>
      <c r="C40" s="26" t="s">
        <v>174</v>
      </c>
      <c r="D40" s="27">
        <f>SUM(D5:D11)+SUM(D28:D31)+SUM(D15:D24)+SUM(D35:D38)</f>
        <v>59.126488131803399</v>
      </c>
      <c r="E40" s="27"/>
    </row>
    <row r="43" spans="2:6" x14ac:dyDescent="0.25">
      <c r="C43" s="32" t="s">
        <v>184</v>
      </c>
      <c r="D43" s="32" t="s">
        <v>182</v>
      </c>
      <c r="E43" t="s">
        <v>167</v>
      </c>
      <c r="F43" s="32" t="s">
        <v>183</v>
      </c>
    </row>
    <row r="44" spans="2:6" x14ac:dyDescent="0.25">
      <c r="C44" t="s">
        <v>187</v>
      </c>
      <c r="D44">
        <f>D38</f>
        <v>3</v>
      </c>
      <c r="E44">
        <f>F44-D44</f>
        <v>0</v>
      </c>
      <c r="F44">
        <f>E38</f>
        <v>3</v>
      </c>
    </row>
    <row r="45" spans="2:6" x14ac:dyDescent="0.25">
      <c r="C45" s="28" t="s">
        <v>188</v>
      </c>
      <c r="D45">
        <f>D37</f>
        <v>3</v>
      </c>
      <c r="E45">
        <f t="shared" ref="E45:E67" si="0">F45-D45</f>
        <v>0</v>
      </c>
      <c r="F45">
        <f>E37</f>
        <v>3</v>
      </c>
    </row>
    <row r="46" spans="2:6" x14ac:dyDescent="0.25">
      <c r="C46" s="28" t="s">
        <v>189</v>
      </c>
      <c r="D46">
        <f>D36</f>
        <v>3</v>
      </c>
      <c r="E46">
        <f t="shared" si="0"/>
        <v>1</v>
      </c>
      <c r="F46">
        <f>E36</f>
        <v>4</v>
      </c>
    </row>
    <row r="47" spans="2:6" x14ac:dyDescent="0.25">
      <c r="C47" s="28" t="s">
        <v>190</v>
      </c>
      <c r="D47" s="30">
        <f>D35</f>
        <v>4</v>
      </c>
      <c r="E47">
        <f t="shared" si="0"/>
        <v>0</v>
      </c>
      <c r="F47">
        <f>E35</f>
        <v>4</v>
      </c>
    </row>
    <row r="48" spans="2:6" x14ac:dyDescent="0.25">
      <c r="C48" s="1" t="s">
        <v>191</v>
      </c>
      <c r="D48" s="30">
        <f>D31</f>
        <v>0</v>
      </c>
      <c r="E48">
        <f t="shared" si="0"/>
        <v>2</v>
      </c>
      <c r="F48" s="30">
        <f>E31</f>
        <v>2</v>
      </c>
    </row>
    <row r="49" spans="3:6" x14ac:dyDescent="0.25">
      <c r="C49" s="1" t="s">
        <v>192</v>
      </c>
      <c r="D49" s="30">
        <f>D30</f>
        <v>9</v>
      </c>
      <c r="E49">
        <f t="shared" si="0"/>
        <v>1</v>
      </c>
      <c r="F49" s="30">
        <f>E30</f>
        <v>10</v>
      </c>
    </row>
    <row r="50" spans="3:6" x14ac:dyDescent="0.25">
      <c r="C50" s="1" t="s">
        <v>193</v>
      </c>
      <c r="D50" s="30">
        <f>D29</f>
        <v>3.7894736842105265</v>
      </c>
      <c r="E50">
        <f t="shared" si="0"/>
        <v>0.21052631578947345</v>
      </c>
      <c r="F50" s="30">
        <f>E29</f>
        <v>4</v>
      </c>
    </row>
    <row r="51" spans="3:6" x14ac:dyDescent="0.25">
      <c r="C51" s="1" t="s">
        <v>194</v>
      </c>
      <c r="D51" s="30">
        <f>D28</f>
        <v>2</v>
      </c>
      <c r="E51">
        <f t="shared" si="0"/>
        <v>2</v>
      </c>
      <c r="F51" s="30">
        <f>E28</f>
        <v>4</v>
      </c>
    </row>
    <row r="52" spans="3:6" x14ac:dyDescent="0.25">
      <c r="C52" s="28" t="s">
        <v>195</v>
      </c>
      <c r="D52" s="30">
        <f>D24</f>
        <v>1.1842105263157894</v>
      </c>
      <c r="E52">
        <f t="shared" si="0"/>
        <v>1.8157894736842106</v>
      </c>
      <c r="F52" s="30">
        <f>E24</f>
        <v>3</v>
      </c>
    </row>
    <row r="53" spans="3:6" x14ac:dyDescent="0.25">
      <c r="C53" s="28" t="s">
        <v>196</v>
      </c>
      <c r="D53" s="30">
        <f>D23</f>
        <v>3.8157894736842106</v>
      </c>
      <c r="E53">
        <f t="shared" si="0"/>
        <v>6.1842105263157894</v>
      </c>
      <c r="F53" s="30">
        <f>E23</f>
        <v>10</v>
      </c>
    </row>
    <row r="54" spans="3:6" x14ac:dyDescent="0.25">
      <c r="C54" s="28" t="s">
        <v>209</v>
      </c>
      <c r="D54" s="30">
        <f>D22</f>
        <v>0</v>
      </c>
      <c r="E54">
        <f t="shared" si="0"/>
        <v>3</v>
      </c>
      <c r="F54" s="30">
        <f>E22</f>
        <v>3</v>
      </c>
    </row>
    <row r="55" spans="3:6" x14ac:dyDescent="0.25">
      <c r="C55" t="s">
        <v>197</v>
      </c>
      <c r="D55" s="30">
        <f>D21</f>
        <v>5.6000000000000005</v>
      </c>
      <c r="E55">
        <f t="shared" si="0"/>
        <v>1.3999999999999995</v>
      </c>
      <c r="F55" s="30">
        <f>E21</f>
        <v>7</v>
      </c>
    </row>
    <row r="56" spans="3:6" x14ac:dyDescent="0.25">
      <c r="C56" s="28" t="s">
        <v>198</v>
      </c>
      <c r="D56" s="30">
        <f>D20</f>
        <v>0</v>
      </c>
      <c r="E56">
        <f t="shared" si="0"/>
        <v>3</v>
      </c>
      <c r="F56" s="30">
        <f>E20</f>
        <v>3</v>
      </c>
    </row>
    <row r="57" spans="3:6" x14ac:dyDescent="0.25">
      <c r="C57" s="28" t="s">
        <v>199</v>
      </c>
      <c r="D57" s="30">
        <f>D19</f>
        <v>0.67164179104477606</v>
      </c>
      <c r="E57">
        <f t="shared" si="0"/>
        <v>2.3283582089552239</v>
      </c>
      <c r="F57" s="30">
        <f>E19</f>
        <v>3</v>
      </c>
    </row>
    <row r="58" spans="3:6" x14ac:dyDescent="0.25">
      <c r="C58" s="28" t="s">
        <v>200</v>
      </c>
      <c r="D58" s="30">
        <f>D18</f>
        <v>0</v>
      </c>
      <c r="E58">
        <f t="shared" si="0"/>
        <v>2</v>
      </c>
      <c r="F58" s="30">
        <f>E18</f>
        <v>2</v>
      </c>
    </row>
    <row r="59" spans="3:6" x14ac:dyDescent="0.25">
      <c r="C59" s="28" t="s">
        <v>201</v>
      </c>
      <c r="D59" s="30">
        <f>D17</f>
        <v>3</v>
      </c>
      <c r="E59">
        <f>F59-D59</f>
        <v>0</v>
      </c>
      <c r="F59" s="30">
        <f>E17</f>
        <v>3</v>
      </c>
    </row>
    <row r="60" spans="3:6" x14ac:dyDescent="0.25">
      <c r="C60" s="28" t="s">
        <v>202</v>
      </c>
      <c r="D60" s="30">
        <f>D16</f>
        <v>1.7867376176831764</v>
      </c>
      <c r="E60">
        <f t="shared" si="0"/>
        <v>2.2132623823168238</v>
      </c>
      <c r="F60" s="30">
        <f>E16</f>
        <v>4</v>
      </c>
    </row>
    <row r="61" spans="3:6" x14ac:dyDescent="0.25">
      <c r="C61" s="28" t="s">
        <v>203</v>
      </c>
      <c r="D61" s="30">
        <f>D15</f>
        <v>3.5589253731343282</v>
      </c>
      <c r="E61">
        <f t="shared" si="0"/>
        <v>4.4410746268656718</v>
      </c>
      <c r="F61" s="30">
        <f>E15</f>
        <v>8</v>
      </c>
    </row>
    <row r="62" spans="3:6" x14ac:dyDescent="0.25">
      <c r="C62" s="28" t="s">
        <v>204</v>
      </c>
      <c r="D62" s="30">
        <f>D11</f>
        <v>1</v>
      </c>
      <c r="E62">
        <f t="shared" si="0"/>
        <v>1</v>
      </c>
      <c r="F62" s="30">
        <f>E11</f>
        <v>2</v>
      </c>
    </row>
    <row r="63" spans="3:6" x14ac:dyDescent="0.25">
      <c r="C63" s="28" t="s">
        <v>205</v>
      </c>
      <c r="D63" s="30">
        <f>D10</f>
        <v>1</v>
      </c>
      <c r="E63" s="30">
        <f>F63-D63</f>
        <v>1</v>
      </c>
      <c r="F63" s="30">
        <f>E10</f>
        <v>2</v>
      </c>
    </row>
    <row r="64" spans="3:6" x14ac:dyDescent="0.25">
      <c r="C64" s="28" t="s">
        <v>206</v>
      </c>
      <c r="D64" s="30">
        <f>D9</f>
        <v>2.6842105263157894</v>
      </c>
      <c r="E64">
        <f t="shared" si="0"/>
        <v>0.31578947368421062</v>
      </c>
      <c r="F64" s="30">
        <f>E9</f>
        <v>3</v>
      </c>
    </row>
    <row r="65" spans="3:6" x14ac:dyDescent="0.25">
      <c r="C65" s="28" t="s">
        <v>207</v>
      </c>
      <c r="D65" s="30">
        <f>D8</f>
        <v>0.62650602409638623</v>
      </c>
      <c r="E65">
        <f t="shared" si="0"/>
        <v>2.3734939759036138</v>
      </c>
      <c r="F65" s="30">
        <f>E8</f>
        <v>3</v>
      </c>
    </row>
    <row r="66" spans="3:6" x14ac:dyDescent="0.25">
      <c r="C66" s="28" t="s">
        <v>208</v>
      </c>
      <c r="D66" s="30">
        <f>D7</f>
        <v>1.9999999999999998</v>
      </c>
      <c r="E66">
        <f t="shared" si="0"/>
        <v>3</v>
      </c>
      <c r="F66" s="30">
        <f>E7</f>
        <v>5</v>
      </c>
    </row>
    <row r="67" spans="3:6" x14ac:dyDescent="0.25">
      <c r="C67" s="28" t="s">
        <v>186</v>
      </c>
      <c r="D67" s="30">
        <f>D6</f>
        <v>2.408993115318415</v>
      </c>
      <c r="E67">
        <f t="shared" si="0"/>
        <v>0.59100688468158502</v>
      </c>
      <c r="F67" s="30">
        <f>E6</f>
        <v>3</v>
      </c>
    </row>
    <row r="68" spans="3:6" x14ac:dyDescent="0.25">
      <c r="C68" t="s">
        <v>185</v>
      </c>
      <c r="D68">
        <f>D5</f>
        <v>2</v>
      </c>
      <c r="E68">
        <f>F68-D68</f>
        <v>0</v>
      </c>
      <c r="F68">
        <f>E5</f>
        <v>2</v>
      </c>
    </row>
    <row r="71" spans="3:6" x14ac:dyDescent="0.25">
      <c r="C71" s="28"/>
    </row>
    <row r="72" spans="3:6" x14ac:dyDescent="0.25">
      <c r="C72" s="28"/>
    </row>
  </sheetData>
  <mergeCells count="4">
    <mergeCell ref="B3:E3"/>
    <mergeCell ref="B13:E13"/>
    <mergeCell ref="B26:E26"/>
    <mergeCell ref="B33:E3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D8299C-B96E-4F93-806E-A3465C51168D}">
  <dimension ref="C4:R60"/>
  <sheetViews>
    <sheetView topLeftCell="B1" workbookViewId="0">
      <selection activeCell="F6" sqref="F6"/>
    </sheetView>
  </sheetViews>
  <sheetFormatPr defaultRowHeight="15" x14ac:dyDescent="0.25"/>
  <cols>
    <col min="3" max="3" width="55.140625" customWidth="1"/>
    <col min="5" max="5" width="10.85546875" customWidth="1"/>
    <col min="6" max="6" width="15.5703125" customWidth="1"/>
    <col min="8" max="8" width="10.5703125" customWidth="1"/>
    <col min="9" max="9" width="15.140625" customWidth="1"/>
    <col min="10" max="10" width="12.28515625" bestFit="1" customWidth="1"/>
  </cols>
  <sheetData>
    <row r="4" spans="3:18" x14ac:dyDescent="0.25">
      <c r="C4" s="3" t="s">
        <v>1</v>
      </c>
      <c r="D4" s="1" t="s">
        <v>31</v>
      </c>
      <c r="E4" s="1" t="s">
        <v>32</v>
      </c>
    </row>
    <row r="5" spans="3:18" ht="30" x14ac:dyDescent="0.25">
      <c r="C5" s="2" t="s">
        <v>29</v>
      </c>
      <c r="D5" s="1">
        <v>1</v>
      </c>
      <c r="E5" s="1">
        <v>1</v>
      </c>
      <c r="F5" t="s">
        <v>214</v>
      </c>
    </row>
    <row r="6" spans="3:18" ht="30" x14ac:dyDescent="0.25">
      <c r="C6" s="2" t="s">
        <v>30</v>
      </c>
      <c r="D6" s="1">
        <v>1</v>
      </c>
      <c r="E6" s="1">
        <v>1</v>
      </c>
      <c r="F6" t="s">
        <v>215</v>
      </c>
    </row>
    <row r="8" spans="3:18" x14ac:dyDescent="0.25">
      <c r="C8" s="4" t="s">
        <v>2</v>
      </c>
      <c r="D8" s="1" t="s">
        <v>44</v>
      </c>
      <c r="E8" s="1" t="s">
        <v>32</v>
      </c>
      <c r="F8" s="1" t="s">
        <v>31</v>
      </c>
      <c r="H8" t="s">
        <v>37</v>
      </c>
      <c r="J8" t="s">
        <v>38</v>
      </c>
      <c r="L8" t="s">
        <v>37</v>
      </c>
      <c r="O8" t="s">
        <v>38</v>
      </c>
    </row>
    <row r="9" spans="3:18" x14ac:dyDescent="0.25">
      <c r="C9" s="1" t="s">
        <v>33</v>
      </c>
      <c r="D9" s="1">
        <v>3</v>
      </c>
      <c r="E9" s="1"/>
      <c r="F9" s="11">
        <f>J14+O14</f>
        <v>2.408993115318415</v>
      </c>
      <c r="H9" t="s">
        <v>145</v>
      </c>
      <c r="J9">
        <v>1.6</v>
      </c>
      <c r="L9" t="s">
        <v>148</v>
      </c>
      <c r="O9">
        <v>5.6</v>
      </c>
    </row>
    <row r="10" spans="3:18" x14ac:dyDescent="0.25">
      <c r="C10" s="1" t="s">
        <v>34</v>
      </c>
      <c r="D10" s="1">
        <v>2</v>
      </c>
      <c r="E10" s="1"/>
      <c r="F10" s="1">
        <f t="shared" ref="F10:F12" si="0">D10*E10</f>
        <v>0</v>
      </c>
      <c r="H10" t="s">
        <v>146</v>
      </c>
      <c r="J10">
        <v>2.1</v>
      </c>
      <c r="L10" t="s">
        <v>149</v>
      </c>
      <c r="O10">
        <v>6.2</v>
      </c>
      <c r="Q10" t="s">
        <v>150</v>
      </c>
      <c r="R10">
        <f>J10+O10</f>
        <v>8.3000000000000007</v>
      </c>
    </row>
    <row r="11" spans="3:18" x14ac:dyDescent="0.25">
      <c r="C11" s="1" t="s">
        <v>35</v>
      </c>
      <c r="D11" s="1">
        <v>1</v>
      </c>
      <c r="E11" s="1"/>
      <c r="F11" s="1">
        <f t="shared" si="0"/>
        <v>0</v>
      </c>
      <c r="I11" t="s">
        <v>147</v>
      </c>
      <c r="J11">
        <f>J10/J9</f>
        <v>1.3125</v>
      </c>
      <c r="N11" t="s">
        <v>147</v>
      </c>
      <c r="O11">
        <f>O10/O9</f>
        <v>1.1071428571428572</v>
      </c>
    </row>
    <row r="12" spans="3:18" x14ac:dyDescent="0.25">
      <c r="C12" s="1" t="s">
        <v>36</v>
      </c>
      <c r="D12" s="1">
        <v>0</v>
      </c>
      <c r="E12" s="1"/>
      <c r="F12" s="1">
        <f t="shared" si="0"/>
        <v>0</v>
      </c>
      <c r="J12">
        <f>14-10*J11</f>
        <v>0.875</v>
      </c>
      <c r="O12">
        <f>14-10*O11</f>
        <v>2.928571428571427</v>
      </c>
    </row>
    <row r="13" spans="3:18" x14ac:dyDescent="0.25">
      <c r="C13" s="1"/>
      <c r="D13" s="1"/>
      <c r="E13" s="1" t="s">
        <v>39</v>
      </c>
      <c r="F13" s="11">
        <f>SUM(F9:F12)</f>
        <v>2.408993115318415</v>
      </c>
      <c r="I13" t="s">
        <v>151</v>
      </c>
      <c r="J13">
        <f>J10/R10</f>
        <v>0.25301204819277107</v>
      </c>
      <c r="O13">
        <f>O10/R10</f>
        <v>0.74698795180722888</v>
      </c>
    </row>
    <row r="14" spans="3:18" x14ac:dyDescent="0.25">
      <c r="J14">
        <f>J12*J13</f>
        <v>0.22138554216867468</v>
      </c>
      <c r="O14">
        <f>O12*O13</f>
        <v>2.1876075731497404</v>
      </c>
    </row>
    <row r="15" spans="3:18" x14ac:dyDescent="0.25">
      <c r="L15">
        <f>(J12+O12)/2</f>
        <v>1.9017857142857135</v>
      </c>
    </row>
    <row r="17" spans="3:11" x14ac:dyDescent="0.25">
      <c r="C17" s="4" t="s">
        <v>3</v>
      </c>
      <c r="D17" s="1" t="s">
        <v>31</v>
      </c>
      <c r="E17" s="1" t="s">
        <v>45</v>
      </c>
      <c r="F17" s="1" t="s">
        <v>32</v>
      </c>
      <c r="G17" s="1" t="s">
        <v>31</v>
      </c>
      <c r="I17" t="s">
        <v>152</v>
      </c>
      <c r="J17">
        <v>0</v>
      </c>
      <c r="K17">
        <v>0</v>
      </c>
    </row>
    <row r="18" spans="3:11" x14ac:dyDescent="0.25">
      <c r="C18" s="1" t="s">
        <v>40</v>
      </c>
      <c r="D18" s="1">
        <v>5</v>
      </c>
      <c r="E18" s="1">
        <f>COUNTIF(K18:K36,"&gt;600")</f>
        <v>1</v>
      </c>
      <c r="F18" s="6">
        <f>E18/$E$22</f>
        <v>5.2631578947368418E-2</v>
      </c>
      <c r="G18" s="6">
        <f>D18*F18</f>
        <v>0.26315789473684209</v>
      </c>
      <c r="I18" t="s">
        <v>153</v>
      </c>
      <c r="J18">
        <v>389</v>
      </c>
      <c r="K18">
        <f>J18-J17</f>
        <v>389</v>
      </c>
    </row>
    <row r="19" spans="3:11" x14ac:dyDescent="0.25">
      <c r="C19" s="1" t="s">
        <v>41</v>
      </c>
      <c r="D19" s="1">
        <v>4</v>
      </c>
      <c r="E19" s="1">
        <f>COUNTIF(K18:K36,"&gt;500")-E18</f>
        <v>3</v>
      </c>
      <c r="F19" s="6">
        <f t="shared" ref="F19:F21" si="1">E19/$E$22</f>
        <v>0.15789473684210525</v>
      </c>
      <c r="G19" s="6">
        <f t="shared" ref="G19:G21" si="2">D19*F19</f>
        <v>0.63157894736842102</v>
      </c>
      <c r="J19">
        <v>727</v>
      </c>
      <c r="K19">
        <f t="shared" ref="K19:K30" si="3">J19-J18</f>
        <v>338</v>
      </c>
    </row>
    <row r="20" spans="3:11" x14ac:dyDescent="0.25">
      <c r="C20" s="1" t="s">
        <v>42</v>
      </c>
      <c r="D20" s="1">
        <v>3</v>
      </c>
      <c r="E20" s="1">
        <f>COUNTIF(K18:K36,"&gt;400")-E19-E18</f>
        <v>7</v>
      </c>
      <c r="F20" s="6">
        <f t="shared" si="1"/>
        <v>0.36842105263157893</v>
      </c>
      <c r="G20" s="6">
        <f t="shared" si="2"/>
        <v>1.1052631578947367</v>
      </c>
      <c r="J20">
        <v>1050</v>
      </c>
      <c r="K20">
        <f t="shared" si="3"/>
        <v>323</v>
      </c>
    </row>
    <row r="21" spans="3:11" x14ac:dyDescent="0.25">
      <c r="C21" s="1" t="s">
        <v>43</v>
      </c>
      <c r="D21" s="1">
        <v>0</v>
      </c>
      <c r="E21" s="1">
        <f>COUNTIF(K18:K36,"&gt;0")-E19-E18-E20</f>
        <v>8</v>
      </c>
      <c r="F21" s="6">
        <f t="shared" si="1"/>
        <v>0.42105263157894735</v>
      </c>
      <c r="G21" s="6">
        <f t="shared" si="2"/>
        <v>0</v>
      </c>
      <c r="J21">
        <v>1450</v>
      </c>
      <c r="K21">
        <f t="shared" si="3"/>
        <v>400</v>
      </c>
    </row>
    <row r="22" spans="3:11" x14ac:dyDescent="0.25">
      <c r="C22" s="1"/>
      <c r="D22" s="1" t="s">
        <v>46</v>
      </c>
      <c r="E22" s="1">
        <f>SUM(E18:E21)</f>
        <v>19</v>
      </c>
      <c r="F22" s="1"/>
      <c r="G22" s="6">
        <f>SUM(G18:G21)</f>
        <v>1.9999999999999998</v>
      </c>
      <c r="J22">
        <v>1770</v>
      </c>
      <c r="K22">
        <f t="shared" si="3"/>
        <v>320</v>
      </c>
    </row>
    <row r="23" spans="3:11" x14ac:dyDescent="0.25">
      <c r="J23">
        <v>2130</v>
      </c>
      <c r="K23">
        <f t="shared" si="3"/>
        <v>360</v>
      </c>
    </row>
    <row r="24" spans="3:11" x14ac:dyDescent="0.25">
      <c r="J24">
        <v>2620</v>
      </c>
      <c r="K24">
        <f t="shared" si="3"/>
        <v>490</v>
      </c>
    </row>
    <row r="25" spans="3:11" x14ac:dyDescent="0.25">
      <c r="J25">
        <v>3020</v>
      </c>
      <c r="K25">
        <f t="shared" si="3"/>
        <v>400</v>
      </c>
    </row>
    <row r="26" spans="3:11" x14ac:dyDescent="0.25">
      <c r="J26">
        <v>3450</v>
      </c>
      <c r="K26">
        <f t="shared" si="3"/>
        <v>430</v>
      </c>
    </row>
    <row r="27" spans="3:11" x14ac:dyDescent="0.25">
      <c r="J27">
        <v>4000</v>
      </c>
      <c r="K27">
        <f t="shared" si="3"/>
        <v>550</v>
      </c>
    </row>
    <row r="28" spans="3:11" x14ac:dyDescent="0.25">
      <c r="J28">
        <v>4640</v>
      </c>
      <c r="K28">
        <f t="shared" si="3"/>
        <v>640</v>
      </c>
    </row>
    <row r="29" spans="3:11" x14ac:dyDescent="0.25">
      <c r="J29">
        <v>5070</v>
      </c>
      <c r="K29">
        <f t="shared" si="3"/>
        <v>430</v>
      </c>
    </row>
    <row r="30" spans="3:11" x14ac:dyDescent="0.25">
      <c r="J30">
        <v>5520</v>
      </c>
      <c r="K30">
        <f t="shared" si="3"/>
        <v>450</v>
      </c>
    </row>
    <row r="31" spans="3:11" x14ac:dyDescent="0.25">
      <c r="J31">
        <f>J30+K31</f>
        <v>5949</v>
      </c>
      <c r="K31">
        <v>429</v>
      </c>
    </row>
    <row r="32" spans="3:11" x14ac:dyDescent="0.25">
      <c r="J32">
        <f t="shared" ref="J32:J36" si="4">J31+K32</f>
        <v>6371</v>
      </c>
      <c r="K32">
        <v>422</v>
      </c>
    </row>
    <row r="33" spans="3:11" x14ac:dyDescent="0.25">
      <c r="J33">
        <f t="shared" si="4"/>
        <v>6922</v>
      </c>
      <c r="K33">
        <v>551</v>
      </c>
    </row>
    <row r="34" spans="3:11" x14ac:dyDescent="0.25">
      <c r="J34">
        <f t="shared" si="4"/>
        <v>7409</v>
      </c>
      <c r="K34">
        <v>487</v>
      </c>
    </row>
    <row r="35" spans="3:11" x14ac:dyDescent="0.25">
      <c r="J35">
        <f t="shared" si="4"/>
        <v>8004</v>
      </c>
      <c r="K35">
        <v>595</v>
      </c>
    </row>
    <row r="36" spans="3:11" x14ac:dyDescent="0.25">
      <c r="J36">
        <f t="shared" si="4"/>
        <v>8304</v>
      </c>
      <c r="K36">
        <v>300</v>
      </c>
    </row>
    <row r="39" spans="3:11" x14ac:dyDescent="0.25">
      <c r="C39" s="4" t="s">
        <v>4</v>
      </c>
      <c r="D39" s="1" t="s">
        <v>53</v>
      </c>
      <c r="E39" s="1" t="s">
        <v>45</v>
      </c>
      <c r="F39" s="1" t="s">
        <v>58</v>
      </c>
      <c r="G39" s="1" t="s">
        <v>31</v>
      </c>
      <c r="I39" t="s">
        <v>156</v>
      </c>
      <c r="J39" t="s">
        <v>154</v>
      </c>
      <c r="K39" t="s">
        <v>155</v>
      </c>
    </row>
    <row r="40" spans="3:11" x14ac:dyDescent="0.25">
      <c r="C40" s="1" t="s">
        <v>47</v>
      </c>
      <c r="D40" s="1">
        <v>3</v>
      </c>
      <c r="E40" s="1"/>
      <c r="F40" s="1"/>
      <c r="G40" s="1">
        <f>-4*K42+4</f>
        <v>0.62650602409638623</v>
      </c>
      <c r="I40">
        <v>28</v>
      </c>
      <c r="J40">
        <v>8</v>
      </c>
      <c r="K40">
        <f>((I40/2)^2+J40^2)/(2*J40)</f>
        <v>16.25</v>
      </c>
    </row>
    <row r="41" spans="3:11" x14ac:dyDescent="0.25">
      <c r="C41" s="1" t="s">
        <v>48</v>
      </c>
      <c r="D41" s="1">
        <v>2</v>
      </c>
      <c r="F41" s="1"/>
      <c r="G41" s="1"/>
    </row>
    <row r="42" spans="3:11" x14ac:dyDescent="0.25">
      <c r="C42" s="1" t="s">
        <v>49</v>
      </c>
      <c r="D42" s="1">
        <v>1</v>
      </c>
      <c r="E42" s="1"/>
      <c r="F42" s="1"/>
      <c r="G42" s="1"/>
      <c r="I42">
        <f>6/8.3</f>
        <v>0.72289156626506013</v>
      </c>
      <c r="J42">
        <f>8/8.3</f>
        <v>0.96385542168674687</v>
      </c>
      <c r="K42">
        <f>(I42+J42)/2</f>
        <v>0.84337349397590344</v>
      </c>
    </row>
    <row r="43" spans="3:11" x14ac:dyDescent="0.25">
      <c r="C43" s="1" t="s">
        <v>50</v>
      </c>
      <c r="D43" s="1">
        <v>0</v>
      </c>
      <c r="E43" s="1"/>
      <c r="F43" s="1"/>
      <c r="G43" s="1"/>
    </row>
    <row r="44" spans="3:11" x14ac:dyDescent="0.25">
      <c r="F44" s="1" t="s">
        <v>54</v>
      </c>
      <c r="G44" s="1">
        <f>SUM(G40:G43)</f>
        <v>0.62650602409638623</v>
      </c>
      <c r="J44" s="5"/>
    </row>
    <row r="46" spans="3:11" x14ac:dyDescent="0.25">
      <c r="C46" s="8" t="s">
        <v>5</v>
      </c>
      <c r="D46" s="1" t="s">
        <v>53</v>
      </c>
      <c r="E46" s="1" t="s">
        <v>45</v>
      </c>
      <c r="F46" s="1" t="s">
        <v>32</v>
      </c>
      <c r="G46" s="1" t="s">
        <v>31</v>
      </c>
    </row>
    <row r="47" spans="3:11" ht="30" x14ac:dyDescent="0.25">
      <c r="C47" s="2" t="s">
        <v>51</v>
      </c>
      <c r="D47" s="1">
        <v>3</v>
      </c>
      <c r="E47" s="1">
        <v>34</v>
      </c>
      <c r="F47" s="1">
        <f>E47/SUM(E47:E48)</f>
        <v>0.89473684210526316</v>
      </c>
      <c r="G47" s="1">
        <f>D47*F47</f>
        <v>2.6842105263157894</v>
      </c>
    </row>
    <row r="48" spans="3:11" ht="30" x14ac:dyDescent="0.25">
      <c r="C48" s="2" t="s">
        <v>52</v>
      </c>
      <c r="D48" s="1">
        <v>0</v>
      </c>
      <c r="E48" s="1">
        <v>4</v>
      </c>
      <c r="F48" s="1">
        <f>E48/SUM(E47:E48)</f>
        <v>0.10526315789473684</v>
      </c>
      <c r="G48" s="1">
        <f>D48*F48</f>
        <v>0</v>
      </c>
    </row>
    <row r="49" spans="3:7" x14ac:dyDescent="0.25">
      <c r="F49" s="1" t="s">
        <v>46</v>
      </c>
      <c r="G49" s="1">
        <f>SUM(G47:G48)</f>
        <v>2.6842105263157894</v>
      </c>
    </row>
    <row r="51" spans="3:7" x14ac:dyDescent="0.25">
      <c r="C51" s="8" t="s">
        <v>6</v>
      </c>
      <c r="D51" s="1" t="s">
        <v>53</v>
      </c>
      <c r="E51" s="1" t="s">
        <v>45</v>
      </c>
      <c r="F51" s="1" t="s">
        <v>59</v>
      </c>
      <c r="G51" s="1" t="s">
        <v>31</v>
      </c>
    </row>
    <row r="52" spans="3:7" x14ac:dyDescent="0.25">
      <c r="C52" s="1" t="s">
        <v>55</v>
      </c>
      <c r="D52" s="1">
        <v>2</v>
      </c>
      <c r="E52" s="1"/>
      <c r="F52" s="1"/>
      <c r="G52" s="1">
        <v>0</v>
      </c>
    </row>
    <row r="53" spans="3:7" x14ac:dyDescent="0.25">
      <c r="C53" s="1" t="s">
        <v>56</v>
      </c>
      <c r="D53" s="1">
        <v>1</v>
      </c>
      <c r="E53" s="1"/>
      <c r="F53" s="1"/>
      <c r="G53" s="1">
        <v>1</v>
      </c>
    </row>
    <row r="54" spans="3:7" x14ac:dyDescent="0.25">
      <c r="C54" s="1" t="s">
        <v>57</v>
      </c>
      <c r="D54" s="1">
        <v>0</v>
      </c>
      <c r="E54" s="1"/>
      <c r="F54" s="1"/>
      <c r="G54" s="1">
        <v>0</v>
      </c>
    </row>
    <row r="55" spans="3:7" x14ac:dyDescent="0.25">
      <c r="F55" s="1" t="s">
        <v>54</v>
      </c>
      <c r="G55" s="1">
        <f>SUM(G52:G54)</f>
        <v>1</v>
      </c>
    </row>
    <row r="57" spans="3:7" x14ac:dyDescent="0.25">
      <c r="C57" s="1" t="s">
        <v>60</v>
      </c>
      <c r="D57" s="1" t="s">
        <v>53</v>
      </c>
      <c r="E57" s="1" t="s">
        <v>45</v>
      </c>
      <c r="F57" s="1" t="s">
        <v>59</v>
      </c>
      <c r="G57" s="1" t="s">
        <v>31</v>
      </c>
    </row>
    <row r="58" spans="3:7" x14ac:dyDescent="0.25">
      <c r="C58" s="1" t="s">
        <v>61</v>
      </c>
      <c r="D58" s="1">
        <v>1</v>
      </c>
      <c r="E58" s="1">
        <v>2</v>
      </c>
      <c r="F58" s="1">
        <f>E58/SUM(E58:E59)</f>
        <v>5.2631578947368418E-2</v>
      </c>
      <c r="G58" s="1">
        <f>D58*F58</f>
        <v>5.2631578947368418E-2</v>
      </c>
    </row>
    <row r="59" spans="3:7" x14ac:dyDescent="0.25">
      <c r="C59" s="8" t="s">
        <v>62</v>
      </c>
      <c r="D59" s="1">
        <v>1</v>
      </c>
      <c r="E59" s="1">
        <v>36</v>
      </c>
      <c r="F59" s="1">
        <f>E59/SUM(E58:E59)</f>
        <v>0.94736842105263153</v>
      </c>
      <c r="G59" s="1">
        <f>D59*F59</f>
        <v>0.94736842105263153</v>
      </c>
    </row>
    <row r="60" spans="3:7" x14ac:dyDescent="0.25">
      <c r="F60" s="7" t="s">
        <v>54</v>
      </c>
      <c r="G60" s="7">
        <f>SUM(G58:G59)</f>
        <v>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75EA32-5F2D-4E9F-BA99-1531F44A829E}">
  <dimension ref="C3:Y109"/>
  <sheetViews>
    <sheetView tabSelected="1" zoomScale="108" workbookViewId="0">
      <selection activeCell="E25" sqref="E25"/>
    </sheetView>
  </sheetViews>
  <sheetFormatPr defaultRowHeight="15" x14ac:dyDescent="0.25"/>
  <cols>
    <col min="3" max="3" width="47" customWidth="1"/>
    <col min="4" max="4" width="9.42578125" bestFit="1" customWidth="1"/>
    <col min="5" max="5" width="12.85546875" bestFit="1" customWidth="1"/>
    <col min="6" max="6" width="12.28515625" customWidth="1"/>
    <col min="9" max="9" width="12.140625" customWidth="1"/>
    <col min="12" max="12" width="10" customWidth="1"/>
    <col min="14" max="14" width="10.5703125" customWidth="1"/>
  </cols>
  <sheetData>
    <row r="3" spans="3:16" x14ac:dyDescent="0.25">
      <c r="I3" t="s">
        <v>162</v>
      </c>
      <c r="N3" t="s">
        <v>163</v>
      </c>
    </row>
    <row r="4" spans="3:16" x14ac:dyDescent="0.25">
      <c r="C4" s="1" t="s">
        <v>14</v>
      </c>
      <c r="D4" s="1" t="s">
        <v>53</v>
      </c>
      <c r="E4" s="1" t="s">
        <v>45</v>
      </c>
      <c r="F4" s="1" t="s">
        <v>74</v>
      </c>
      <c r="G4" s="1" t="s">
        <v>31</v>
      </c>
      <c r="I4" t="s">
        <v>160</v>
      </c>
      <c r="J4" t="s">
        <v>161</v>
      </c>
      <c r="K4" t="s">
        <v>167</v>
      </c>
      <c r="N4" t="s">
        <v>160</v>
      </c>
      <c r="O4" t="s">
        <v>161</v>
      </c>
    </row>
    <row r="5" spans="3:16" ht="45" x14ac:dyDescent="0.25">
      <c r="C5" s="2" t="s">
        <v>75</v>
      </c>
      <c r="D5" s="1">
        <v>8</v>
      </c>
      <c r="E5" s="1">
        <f>SUMIF(I5:I35,"*Fysisk*",K5:K35)+SUMIF(N5:N33,"*Fysisk*",P5:P33)</f>
        <v>810</v>
      </c>
      <c r="F5" s="6">
        <f>E5/SUM(E5:E8)</f>
        <v>4.8358208955223879E-2</v>
      </c>
      <c r="G5" s="1">
        <f>F5*D5</f>
        <v>0.38686567164179103</v>
      </c>
      <c r="I5" t="s">
        <v>78</v>
      </c>
      <c r="J5">
        <v>173</v>
      </c>
      <c r="K5">
        <f>J5</f>
        <v>173</v>
      </c>
      <c r="N5" t="s">
        <v>78</v>
      </c>
      <c r="O5">
        <v>1320</v>
      </c>
      <c r="P5">
        <f>O5</f>
        <v>1320</v>
      </c>
    </row>
    <row r="6" spans="3:16" ht="45" x14ac:dyDescent="0.25">
      <c r="C6" s="2" t="s">
        <v>76</v>
      </c>
      <c r="D6" s="1">
        <v>6</v>
      </c>
      <c r="E6" s="1">
        <f>SUMIF(I5:I35,"*Visuell*",K5:K35)+SUMIF(N5:N33,"*Visuell*",P5:P33)</f>
        <v>8642</v>
      </c>
      <c r="F6" s="6">
        <f>E6/SUM(E5:E8)</f>
        <v>0.5159402985074627</v>
      </c>
      <c r="G6" s="1">
        <f t="shared" ref="G6:G8" si="0">F6*D6</f>
        <v>3.095641791044776</v>
      </c>
      <c r="I6" s="9" t="s">
        <v>164</v>
      </c>
      <c r="J6">
        <v>782</v>
      </c>
      <c r="K6">
        <f>J6-J5</f>
        <v>609</v>
      </c>
      <c r="N6" t="s">
        <v>166</v>
      </c>
      <c r="O6">
        <v>1390</v>
      </c>
      <c r="P6">
        <f>O6-O5</f>
        <v>70</v>
      </c>
    </row>
    <row r="7" spans="3:16" x14ac:dyDescent="0.25">
      <c r="C7" s="2" t="s">
        <v>77</v>
      </c>
      <c r="D7" s="1">
        <v>4</v>
      </c>
      <c r="E7" s="1">
        <f>SUMIF(I5:I35,"*linje*",K5:K35)+SUMIF(N5:N33,"*linje*",P5:P33)</f>
        <v>320</v>
      </c>
      <c r="F7" s="6">
        <f>E7/SUM(E5:E8)</f>
        <v>1.9104477611940299E-2</v>
      </c>
      <c r="G7" s="1">
        <f t="shared" si="0"/>
        <v>7.6417910447761195E-2</v>
      </c>
      <c r="I7" s="9" t="s">
        <v>78</v>
      </c>
      <c r="J7">
        <v>907</v>
      </c>
      <c r="K7">
        <f t="shared" ref="K7:K17" si="1">J7-J6</f>
        <v>125</v>
      </c>
      <c r="N7" t="s">
        <v>78</v>
      </c>
      <c r="O7">
        <v>1800</v>
      </c>
      <c r="P7">
        <f t="shared" ref="P7:P9" si="2">O7-O6</f>
        <v>410</v>
      </c>
    </row>
    <row r="8" spans="3:16" x14ac:dyDescent="0.25">
      <c r="C8" s="1" t="s">
        <v>78</v>
      </c>
      <c r="D8" s="1">
        <v>0</v>
      </c>
      <c r="E8" s="1">
        <f>SUMIF(I5:I35,"*Blandtrafik*",K5:K35)+SUMIF(N5:N33,"*Blandtrafik*",P5:P33)</f>
        <v>6978</v>
      </c>
      <c r="F8" s="6">
        <f>E8/SUM(E5:E8)</f>
        <v>0.41659701492537315</v>
      </c>
      <c r="G8" s="1">
        <f t="shared" si="0"/>
        <v>0</v>
      </c>
      <c r="I8" t="s">
        <v>164</v>
      </c>
      <c r="J8">
        <v>1160</v>
      </c>
      <c r="K8">
        <f t="shared" si="1"/>
        <v>253</v>
      </c>
      <c r="N8" t="s">
        <v>164</v>
      </c>
      <c r="O8">
        <v>2840</v>
      </c>
      <c r="P8">
        <f t="shared" si="2"/>
        <v>1040</v>
      </c>
    </row>
    <row r="9" spans="3:16" x14ac:dyDescent="0.25">
      <c r="D9" s="7" t="s">
        <v>39</v>
      </c>
      <c r="E9" s="1">
        <f>SUM(E5:E8)</f>
        <v>16750</v>
      </c>
      <c r="F9" s="1"/>
      <c r="G9" s="10">
        <f>SUM(G5:G8)</f>
        <v>3.5589253731343282</v>
      </c>
      <c r="I9" t="s">
        <v>78</v>
      </c>
      <c r="J9">
        <v>1770</v>
      </c>
      <c r="K9">
        <f t="shared" si="1"/>
        <v>610</v>
      </c>
      <c r="N9" t="s">
        <v>78</v>
      </c>
      <c r="O9">
        <v>3000</v>
      </c>
      <c r="P9">
        <f t="shared" si="2"/>
        <v>160</v>
      </c>
    </row>
    <row r="10" spans="3:16" x14ac:dyDescent="0.25">
      <c r="F10" s="5">
        <f>1-F8</f>
        <v>0.58340298507462685</v>
      </c>
      <c r="I10" t="s">
        <v>165</v>
      </c>
      <c r="J10">
        <v>1930</v>
      </c>
      <c r="K10">
        <f t="shared" si="1"/>
        <v>160</v>
      </c>
      <c r="M10" t="s">
        <v>211</v>
      </c>
      <c r="N10" t="s">
        <v>164</v>
      </c>
      <c r="O10">
        <f>O11-525</f>
        <v>4785</v>
      </c>
      <c r="P10">
        <f t="shared" ref="P10:P22" si="3">O10-O9</f>
        <v>1785</v>
      </c>
    </row>
    <row r="11" spans="3:16" x14ac:dyDescent="0.25">
      <c r="E11">
        <f>J35+O33</f>
        <v>0</v>
      </c>
      <c r="I11" t="s">
        <v>78</v>
      </c>
      <c r="J11">
        <v>2110</v>
      </c>
      <c r="K11">
        <f t="shared" si="1"/>
        <v>180</v>
      </c>
      <c r="N11" t="s">
        <v>164</v>
      </c>
      <c r="O11">
        <v>5310</v>
      </c>
      <c r="P11">
        <f t="shared" si="3"/>
        <v>525</v>
      </c>
    </row>
    <row r="12" spans="3:16" x14ac:dyDescent="0.25">
      <c r="E12">
        <f>SUM(E5:E8)</f>
        <v>16750</v>
      </c>
      <c r="H12" t="s">
        <v>211</v>
      </c>
      <c r="I12" t="s">
        <v>166</v>
      </c>
      <c r="J12">
        <v>2480</v>
      </c>
      <c r="K12">
        <f t="shared" si="1"/>
        <v>370</v>
      </c>
      <c r="N12" t="s">
        <v>78</v>
      </c>
      <c r="O12">
        <v>5850</v>
      </c>
      <c r="P12">
        <f t="shared" si="3"/>
        <v>540</v>
      </c>
    </row>
    <row r="13" spans="3:16" x14ac:dyDescent="0.25">
      <c r="I13" t="s">
        <v>78</v>
      </c>
      <c r="J13">
        <v>2730</v>
      </c>
      <c r="K13">
        <f t="shared" si="1"/>
        <v>250</v>
      </c>
      <c r="M13" t="s">
        <v>211</v>
      </c>
      <c r="N13" t="s">
        <v>166</v>
      </c>
      <c r="O13">
        <v>6220</v>
      </c>
      <c r="P13">
        <f t="shared" si="3"/>
        <v>370</v>
      </c>
    </row>
    <row r="14" spans="3:16" x14ac:dyDescent="0.25">
      <c r="F14">
        <f>F6/SUM(F5:F7)</f>
        <v>0.88436348751534988</v>
      </c>
      <c r="H14" t="s">
        <v>211</v>
      </c>
      <c r="I14" t="s">
        <v>164</v>
      </c>
      <c r="J14">
        <v>2980</v>
      </c>
      <c r="K14">
        <f t="shared" si="1"/>
        <v>250</v>
      </c>
      <c r="N14" t="s">
        <v>78</v>
      </c>
      <c r="O14">
        <v>6420</v>
      </c>
      <c r="P14">
        <f t="shared" si="3"/>
        <v>200</v>
      </c>
    </row>
    <row r="15" spans="3:16" x14ac:dyDescent="0.25">
      <c r="I15" t="s">
        <v>78</v>
      </c>
      <c r="J15">
        <v>3230</v>
      </c>
      <c r="K15">
        <f t="shared" si="1"/>
        <v>250</v>
      </c>
      <c r="N15" t="s">
        <v>165</v>
      </c>
      <c r="O15">
        <v>6580</v>
      </c>
      <c r="P15">
        <f t="shared" si="3"/>
        <v>160</v>
      </c>
    </row>
    <row r="16" spans="3:16" x14ac:dyDescent="0.25">
      <c r="I16" t="s">
        <v>164</v>
      </c>
      <c r="J16">
        <v>3510</v>
      </c>
      <c r="K16">
        <f t="shared" si="1"/>
        <v>280</v>
      </c>
      <c r="N16" t="s">
        <v>78</v>
      </c>
      <c r="O16">
        <v>6890</v>
      </c>
      <c r="P16">
        <f t="shared" si="3"/>
        <v>310</v>
      </c>
    </row>
    <row r="17" spans="8:16" x14ac:dyDescent="0.25">
      <c r="I17" t="s">
        <v>78</v>
      </c>
      <c r="J17">
        <v>3640</v>
      </c>
      <c r="K17">
        <f t="shared" si="1"/>
        <v>130</v>
      </c>
      <c r="N17" t="s">
        <v>164</v>
      </c>
      <c r="O17">
        <v>7010</v>
      </c>
      <c r="P17">
        <f t="shared" si="3"/>
        <v>120</v>
      </c>
    </row>
    <row r="18" spans="8:16" x14ac:dyDescent="0.25">
      <c r="H18" t="s">
        <v>211</v>
      </c>
      <c r="I18" t="s">
        <v>164</v>
      </c>
      <c r="J18">
        <f>J19-1340</f>
        <v>5230</v>
      </c>
      <c r="K18">
        <f>J18-J17</f>
        <v>1590</v>
      </c>
      <c r="N18" t="s">
        <v>78</v>
      </c>
      <c r="O18">
        <v>7200</v>
      </c>
      <c r="P18">
        <f t="shared" si="3"/>
        <v>190</v>
      </c>
    </row>
    <row r="19" spans="8:16" x14ac:dyDescent="0.25">
      <c r="I19" t="s">
        <v>164</v>
      </c>
      <c r="J19">
        <v>6570</v>
      </c>
      <c r="K19">
        <f>J19-J18</f>
        <v>1340</v>
      </c>
      <c r="N19" t="s">
        <v>164</v>
      </c>
      <c r="O19">
        <v>7440</v>
      </c>
      <c r="P19">
        <f t="shared" si="3"/>
        <v>240</v>
      </c>
    </row>
    <row r="20" spans="8:16" x14ac:dyDescent="0.25">
      <c r="I20" t="s">
        <v>78</v>
      </c>
      <c r="J20">
        <v>8370</v>
      </c>
      <c r="K20">
        <f>J20-J19</f>
        <v>1800</v>
      </c>
      <c r="N20" t="s">
        <v>78</v>
      </c>
      <c r="O20">
        <v>7490</v>
      </c>
      <c r="P20">
        <f t="shared" si="3"/>
        <v>50</v>
      </c>
    </row>
    <row r="21" spans="8:16" x14ac:dyDescent="0.25">
      <c r="N21" t="s">
        <v>164</v>
      </c>
      <c r="O21">
        <v>8100</v>
      </c>
      <c r="P21">
        <f t="shared" si="3"/>
        <v>610</v>
      </c>
    </row>
    <row r="22" spans="8:16" x14ac:dyDescent="0.25">
      <c r="N22" t="s">
        <v>78</v>
      </c>
      <c r="O22">
        <v>8380</v>
      </c>
      <c r="P22">
        <f t="shared" si="3"/>
        <v>280</v>
      </c>
    </row>
    <row r="33" spans="3:20" x14ac:dyDescent="0.25">
      <c r="N33" s="5"/>
    </row>
    <row r="34" spans="3:20" x14ac:dyDescent="0.25">
      <c r="L34" s="5"/>
    </row>
    <row r="35" spans="3:20" x14ac:dyDescent="0.25">
      <c r="L35" s="5"/>
      <c r="T35" s="5"/>
    </row>
    <row r="36" spans="3:20" x14ac:dyDescent="0.25">
      <c r="L36" s="5"/>
      <c r="T36" s="5"/>
    </row>
    <row r="37" spans="3:20" x14ac:dyDescent="0.25">
      <c r="T37" s="5"/>
    </row>
    <row r="38" spans="3:20" x14ac:dyDescent="0.25">
      <c r="T38" s="5"/>
    </row>
    <row r="41" spans="3:20" ht="15" customHeight="1" x14ac:dyDescent="0.25">
      <c r="C41" s="1" t="s">
        <v>15</v>
      </c>
      <c r="D41" s="1" t="s">
        <v>53</v>
      </c>
      <c r="E41" s="1" t="s">
        <v>45</v>
      </c>
      <c r="F41" s="1" t="s">
        <v>32</v>
      </c>
      <c r="G41" s="1" t="s">
        <v>84</v>
      </c>
      <c r="J41" t="s">
        <v>81</v>
      </c>
      <c r="K41" t="s">
        <v>82</v>
      </c>
    </row>
    <row r="42" spans="3:20" ht="49.5" customHeight="1" x14ac:dyDescent="0.25">
      <c r="C42" s="2" t="s">
        <v>79</v>
      </c>
      <c r="D42" s="1">
        <v>4</v>
      </c>
      <c r="E42" s="1">
        <f>K12+K14+K18+P10+P13</f>
        <v>4365</v>
      </c>
      <c r="F42" s="6">
        <f>E42/(E42+E43)</f>
        <v>0.4466844044207941</v>
      </c>
      <c r="G42" s="1">
        <f>F42*D42</f>
        <v>1.7867376176831764</v>
      </c>
    </row>
    <row r="43" spans="3:20" ht="30" x14ac:dyDescent="0.25">
      <c r="C43" s="2" t="s">
        <v>80</v>
      </c>
      <c r="D43" s="1">
        <v>0</v>
      </c>
      <c r="E43" s="1">
        <f>SUM(E5:E7)-E42</f>
        <v>5407</v>
      </c>
      <c r="F43" s="6">
        <f>E43/(E42+E43)</f>
        <v>0.55331559557920584</v>
      </c>
      <c r="G43" s="1">
        <f>F43*D43</f>
        <v>0</v>
      </c>
    </row>
    <row r="44" spans="3:20" x14ac:dyDescent="0.25">
      <c r="F44" s="1" t="s">
        <v>39</v>
      </c>
      <c r="G44" s="1">
        <f>SUM(G42:G43)</f>
        <v>1.7867376176831764</v>
      </c>
      <c r="I44" t="s">
        <v>63</v>
      </c>
    </row>
    <row r="45" spans="3:20" x14ac:dyDescent="0.25">
      <c r="I45" t="s">
        <v>83</v>
      </c>
      <c r="J45" s="5"/>
      <c r="K45" s="5"/>
    </row>
    <row r="48" spans="3:20" x14ac:dyDescent="0.25">
      <c r="C48" s="1" t="s">
        <v>85</v>
      </c>
      <c r="D48" s="1" t="s">
        <v>53</v>
      </c>
      <c r="E48" s="1" t="s">
        <v>45</v>
      </c>
      <c r="F48" s="1" t="s">
        <v>32</v>
      </c>
      <c r="G48" s="1" t="s">
        <v>31</v>
      </c>
      <c r="J48" t="s">
        <v>88</v>
      </c>
      <c r="K48" t="s">
        <v>78</v>
      </c>
    </row>
    <row r="49" spans="3:18" x14ac:dyDescent="0.25">
      <c r="C49" s="1" t="s">
        <v>86</v>
      </c>
      <c r="D49" s="1">
        <v>3</v>
      </c>
      <c r="E49" s="1">
        <f>E5+E6+E7</f>
        <v>9772</v>
      </c>
      <c r="F49" s="1">
        <v>1</v>
      </c>
      <c r="G49" s="1">
        <v>3</v>
      </c>
      <c r="M49" t="s">
        <v>169</v>
      </c>
      <c r="R49" t="s">
        <v>170</v>
      </c>
    </row>
    <row r="50" spans="3:18" x14ac:dyDescent="0.25">
      <c r="C50" s="1" t="s">
        <v>87</v>
      </c>
      <c r="D50" s="1">
        <v>0</v>
      </c>
      <c r="E50" s="1">
        <f>300</f>
        <v>300</v>
      </c>
      <c r="F50" s="1">
        <v>0</v>
      </c>
      <c r="G50" s="1"/>
    </row>
    <row r="51" spans="3:18" x14ac:dyDescent="0.25">
      <c r="F51" s="7" t="s">
        <v>39</v>
      </c>
      <c r="G51" s="7">
        <f>SUM(G49:G50)</f>
        <v>3</v>
      </c>
    </row>
    <row r="54" spans="3:18" x14ac:dyDescent="0.25">
      <c r="C54" s="8" t="s">
        <v>89</v>
      </c>
      <c r="D54" s="1" t="s">
        <v>53</v>
      </c>
      <c r="E54" s="1" t="s">
        <v>45</v>
      </c>
      <c r="F54" s="1" t="s">
        <v>32</v>
      </c>
      <c r="G54" s="1" t="s">
        <v>31</v>
      </c>
      <c r="J54" t="s">
        <v>124</v>
      </c>
    </row>
    <row r="55" spans="3:18" x14ac:dyDescent="0.25">
      <c r="C55" s="1" t="s">
        <v>90</v>
      </c>
      <c r="D55" s="1">
        <v>2</v>
      </c>
      <c r="E55" s="1">
        <v>7</v>
      </c>
      <c r="F55" s="1">
        <f>E55/(SUM(E5:E7)/1000)</f>
        <v>0.71633237822349571</v>
      </c>
      <c r="G55" s="1">
        <f>2-4*F55</f>
        <v>-0.86532951289398286</v>
      </c>
      <c r="H55">
        <v>15</v>
      </c>
    </row>
    <row r="56" spans="3:18" x14ac:dyDescent="0.25">
      <c r="C56" s="1" t="s">
        <v>91</v>
      </c>
      <c r="D56" s="1">
        <v>1</v>
      </c>
      <c r="E56" s="1"/>
      <c r="F56" s="1"/>
      <c r="G56" s="1">
        <f>D56*F56</f>
        <v>0</v>
      </c>
      <c r="J56" t="s">
        <v>125</v>
      </c>
    </row>
    <row r="57" spans="3:18" x14ac:dyDescent="0.25">
      <c r="C57" s="1" t="s">
        <v>92</v>
      </c>
      <c r="D57" s="1">
        <v>0</v>
      </c>
      <c r="E57" s="1"/>
      <c r="F57" s="1"/>
      <c r="G57" s="1">
        <v>0</v>
      </c>
    </row>
    <row r="58" spans="3:18" x14ac:dyDescent="0.25">
      <c r="F58" s="7" t="s">
        <v>39</v>
      </c>
      <c r="G58" s="7">
        <v>0</v>
      </c>
      <c r="J58" t="s">
        <v>126</v>
      </c>
    </row>
    <row r="61" spans="3:18" x14ac:dyDescent="0.25">
      <c r="C61" s="1" t="s">
        <v>93</v>
      </c>
      <c r="D61" s="1" t="s">
        <v>53</v>
      </c>
      <c r="E61" s="1" t="s">
        <v>45</v>
      </c>
      <c r="F61" s="1" t="s">
        <v>74</v>
      </c>
      <c r="G61" s="1" t="s">
        <v>31</v>
      </c>
      <c r="J61" t="s">
        <v>96</v>
      </c>
    </row>
    <row r="62" spans="3:18" x14ac:dyDescent="0.25">
      <c r="C62" s="1" t="s">
        <v>90</v>
      </c>
      <c r="D62" s="1">
        <v>3</v>
      </c>
      <c r="E62" s="1">
        <v>13</v>
      </c>
      <c r="F62" s="6">
        <f>E62/(E9/1000)</f>
        <v>0.77611940298507465</v>
      </c>
      <c r="G62" s="1">
        <f>3-(3*F62)</f>
        <v>0.67164179104477606</v>
      </c>
    </row>
    <row r="63" spans="3:18" x14ac:dyDescent="0.25">
      <c r="C63" s="1" t="s">
        <v>94</v>
      </c>
      <c r="D63" s="1">
        <v>2</v>
      </c>
      <c r="E63" s="1"/>
      <c r="F63" s="6"/>
      <c r="G63" s="1">
        <f>D63*F63</f>
        <v>0</v>
      </c>
      <c r="M63" t="s">
        <v>171</v>
      </c>
    </row>
    <row r="64" spans="3:18" x14ac:dyDescent="0.25">
      <c r="C64" s="1" t="s">
        <v>95</v>
      </c>
      <c r="D64" s="1">
        <v>1</v>
      </c>
      <c r="E64" s="1"/>
      <c r="F64" s="6"/>
      <c r="G64" s="1">
        <f>D64*F64</f>
        <v>0</v>
      </c>
    </row>
    <row r="65" spans="3:7" x14ac:dyDescent="0.25">
      <c r="C65" s="1" t="s">
        <v>50</v>
      </c>
      <c r="D65" s="1">
        <v>0</v>
      </c>
      <c r="E65" s="1"/>
      <c r="F65" s="6"/>
      <c r="G65" s="1">
        <f>D65*F65</f>
        <v>0</v>
      </c>
    </row>
    <row r="66" spans="3:7" x14ac:dyDescent="0.25">
      <c r="F66" s="7" t="s">
        <v>39</v>
      </c>
      <c r="G66" s="10">
        <f>SUM(G62:G65)</f>
        <v>0.67164179104477606</v>
      </c>
    </row>
    <row r="68" spans="3:7" x14ac:dyDescent="0.25">
      <c r="C68" s="1" t="s">
        <v>97</v>
      </c>
      <c r="D68" s="1" t="s">
        <v>53</v>
      </c>
      <c r="E68" s="1" t="s">
        <v>45</v>
      </c>
      <c r="F68" s="1" t="s">
        <v>74</v>
      </c>
      <c r="G68" s="1" t="s">
        <v>31</v>
      </c>
    </row>
    <row r="69" spans="3:7" x14ac:dyDescent="0.25">
      <c r="C69" s="1" t="s">
        <v>90</v>
      </c>
      <c r="D69" s="1">
        <v>3</v>
      </c>
      <c r="E69" s="1">
        <v>10</v>
      </c>
      <c r="F69" s="6">
        <f>E69/(E9/1000)</f>
        <v>0.59701492537313428</v>
      </c>
      <c r="G69" s="1">
        <f>3-(6*F69)</f>
        <v>-0.58208955223880565</v>
      </c>
    </row>
    <row r="70" spans="3:7" x14ac:dyDescent="0.25">
      <c r="C70" s="1" t="s">
        <v>98</v>
      </c>
      <c r="D70" s="1">
        <v>2</v>
      </c>
      <c r="E70" s="1"/>
      <c r="F70" s="6"/>
      <c r="G70" s="1"/>
    </row>
    <row r="71" spans="3:7" x14ac:dyDescent="0.25">
      <c r="C71" s="1" t="s">
        <v>99</v>
      </c>
      <c r="D71" s="1">
        <v>1</v>
      </c>
      <c r="E71" s="1"/>
      <c r="F71" s="6"/>
      <c r="G71" s="1"/>
    </row>
    <row r="72" spans="3:7" x14ac:dyDescent="0.25">
      <c r="C72" s="1" t="s">
        <v>100</v>
      </c>
      <c r="D72" s="1">
        <v>0</v>
      </c>
      <c r="E72" s="1"/>
      <c r="F72" s="6"/>
      <c r="G72" s="1"/>
    </row>
    <row r="73" spans="3:7" x14ac:dyDescent="0.25">
      <c r="F73" s="7" t="s">
        <v>39</v>
      </c>
      <c r="G73" s="10">
        <v>0</v>
      </c>
    </row>
    <row r="76" spans="3:7" x14ac:dyDescent="0.25">
      <c r="C76" s="3" t="s">
        <v>101</v>
      </c>
      <c r="D76" s="1" t="s">
        <v>31</v>
      </c>
      <c r="E76" s="1" t="s">
        <v>45</v>
      </c>
      <c r="F76" s="1" t="s">
        <v>32</v>
      </c>
      <c r="G76" s="1" t="s">
        <v>31</v>
      </c>
    </row>
    <row r="77" spans="3:7" x14ac:dyDescent="0.25">
      <c r="C77" s="1" t="s">
        <v>102</v>
      </c>
      <c r="D77" s="1">
        <v>7</v>
      </c>
      <c r="E77" s="1"/>
      <c r="F77" s="1">
        <v>0.8</v>
      </c>
      <c r="G77" s="1">
        <f>D77*F77</f>
        <v>5.6000000000000005</v>
      </c>
    </row>
    <row r="78" spans="3:7" ht="30" x14ac:dyDescent="0.25">
      <c r="C78" s="2" t="s">
        <v>103</v>
      </c>
      <c r="D78" s="1">
        <v>0</v>
      </c>
      <c r="E78" s="1"/>
      <c r="F78" s="1"/>
      <c r="G78" s="1"/>
    </row>
    <row r="79" spans="3:7" x14ac:dyDescent="0.25">
      <c r="F79" s="1" t="s">
        <v>39</v>
      </c>
      <c r="G79" s="1">
        <f>SUM(G77:G78)</f>
        <v>5.6000000000000005</v>
      </c>
    </row>
    <row r="82" spans="3:10" x14ac:dyDescent="0.25">
      <c r="C82" s="8" t="s">
        <v>104</v>
      </c>
      <c r="D82" s="1" t="s">
        <v>53</v>
      </c>
      <c r="E82" s="1" t="s">
        <v>45</v>
      </c>
      <c r="F82" s="1" t="s">
        <v>74</v>
      </c>
      <c r="G82" s="1" t="s">
        <v>31</v>
      </c>
    </row>
    <row r="83" spans="3:10" x14ac:dyDescent="0.25">
      <c r="C83" s="1" t="s">
        <v>105</v>
      </c>
      <c r="D83" s="1">
        <v>3</v>
      </c>
      <c r="E83" s="1">
        <v>20</v>
      </c>
      <c r="F83" s="6">
        <f>E83/(SUM(E5:E7)/1000)</f>
        <v>2.0466639377814162</v>
      </c>
      <c r="G83" s="1">
        <f>3-1.5*F83</f>
        <v>-6.9995906672124519E-2</v>
      </c>
      <c r="H83">
        <v>3</v>
      </c>
    </row>
    <row r="84" spans="3:10" x14ac:dyDescent="0.25">
      <c r="C84" s="1" t="s">
        <v>106</v>
      </c>
      <c r="D84" s="1">
        <v>2</v>
      </c>
      <c r="E84" s="1"/>
      <c r="F84" s="6"/>
      <c r="G84" s="1"/>
    </row>
    <row r="85" spans="3:10" x14ac:dyDescent="0.25">
      <c r="C85" s="1" t="s">
        <v>107</v>
      </c>
      <c r="D85" s="1">
        <v>1</v>
      </c>
      <c r="E85" s="1"/>
      <c r="F85" s="6"/>
      <c r="G85" s="1"/>
    </row>
    <row r="86" spans="3:10" x14ac:dyDescent="0.25">
      <c r="C86" s="1" t="s">
        <v>108</v>
      </c>
      <c r="D86" s="1">
        <v>0</v>
      </c>
      <c r="E86" s="1"/>
      <c r="F86" s="6"/>
      <c r="G86" s="1"/>
    </row>
    <row r="87" spans="3:10" x14ac:dyDescent="0.25">
      <c r="F87" s="7" t="s">
        <v>39</v>
      </c>
      <c r="G87" s="10">
        <v>0</v>
      </c>
    </row>
    <row r="89" spans="3:10" x14ac:dyDescent="0.25">
      <c r="J89" t="s">
        <v>109</v>
      </c>
    </row>
    <row r="91" spans="3:10" x14ac:dyDescent="0.25">
      <c r="J91" t="s">
        <v>110</v>
      </c>
    </row>
    <row r="92" spans="3:10" x14ac:dyDescent="0.25">
      <c r="J92" t="s">
        <v>111</v>
      </c>
    </row>
    <row r="93" spans="3:10" x14ac:dyDescent="0.25">
      <c r="J93" t="s">
        <v>112</v>
      </c>
    </row>
    <row r="94" spans="3:10" x14ac:dyDescent="0.25">
      <c r="J94" t="s">
        <v>84</v>
      </c>
    </row>
    <row r="96" spans="3:10" x14ac:dyDescent="0.25">
      <c r="C96" s="1" t="s">
        <v>113</v>
      </c>
      <c r="D96" s="1" t="s">
        <v>53</v>
      </c>
      <c r="E96" s="1" t="s">
        <v>45</v>
      </c>
      <c r="F96" s="1" t="s">
        <v>74</v>
      </c>
      <c r="G96" s="1" t="s">
        <v>31</v>
      </c>
    </row>
    <row r="97" spans="3:25" ht="90" x14ac:dyDescent="0.25">
      <c r="C97" s="2" t="s">
        <v>114</v>
      </c>
      <c r="D97" s="1">
        <v>10</v>
      </c>
      <c r="E97" s="1">
        <v>0</v>
      </c>
      <c r="F97" s="6">
        <f>E97/SUM(E97:E100)</f>
        <v>0</v>
      </c>
      <c r="G97" s="1">
        <f>D97*F97</f>
        <v>0</v>
      </c>
      <c r="H97" t="s">
        <v>142</v>
      </c>
      <c r="V97" t="s">
        <v>143</v>
      </c>
    </row>
    <row r="98" spans="3:25" ht="60" x14ac:dyDescent="0.25">
      <c r="C98" s="2" t="s">
        <v>115</v>
      </c>
      <c r="D98" s="1">
        <v>8</v>
      </c>
      <c r="E98" s="1">
        <v>0</v>
      </c>
      <c r="F98" s="6">
        <f>E98/SUM(E97:E100)</f>
        <v>0</v>
      </c>
      <c r="G98" s="1">
        <f>D98*F98</f>
        <v>0</v>
      </c>
      <c r="H98" t="s">
        <v>140</v>
      </c>
      <c r="V98" t="s">
        <v>143</v>
      </c>
    </row>
    <row r="99" spans="3:25" x14ac:dyDescent="0.25">
      <c r="C99" s="1" t="s">
        <v>116</v>
      </c>
      <c r="D99" s="1">
        <v>5</v>
      </c>
      <c r="E99" s="1">
        <v>29</v>
      </c>
      <c r="F99" s="6">
        <f>E99/SUM(E97:E100)</f>
        <v>0.76315789473684215</v>
      </c>
      <c r="G99" s="1">
        <f>D99*F99</f>
        <v>3.8157894736842106</v>
      </c>
      <c r="H99" t="s">
        <v>141</v>
      </c>
      <c r="V99" t="s">
        <v>144</v>
      </c>
    </row>
    <row r="100" spans="3:25" ht="45" x14ac:dyDescent="0.25">
      <c r="C100" s="2" t="s">
        <v>117</v>
      </c>
      <c r="D100" s="1">
        <v>0</v>
      </c>
      <c r="E100" s="1">
        <v>9</v>
      </c>
      <c r="F100" s="6">
        <f>E100/SUM(E97:E100)</f>
        <v>0.23684210526315788</v>
      </c>
      <c r="G100" s="1">
        <f>D100*F100</f>
        <v>0</v>
      </c>
    </row>
    <row r="101" spans="3:25" x14ac:dyDescent="0.25">
      <c r="F101" s="7" t="s">
        <v>39</v>
      </c>
      <c r="G101" s="10">
        <f>SUM(G97:G100)</f>
        <v>3.8157894736842106</v>
      </c>
      <c r="J101" t="s">
        <v>157</v>
      </c>
      <c r="P101" s="12"/>
      <c r="Q101" t="s">
        <v>158</v>
      </c>
      <c r="Y101" t="s">
        <v>159</v>
      </c>
    </row>
    <row r="104" spans="3:25" x14ac:dyDescent="0.25">
      <c r="C104" s="1" t="s">
        <v>118</v>
      </c>
      <c r="D104" s="1" t="s">
        <v>53</v>
      </c>
      <c r="E104" s="1" t="s">
        <v>45</v>
      </c>
      <c r="F104" s="1" t="s">
        <v>74</v>
      </c>
      <c r="G104" s="1" t="s">
        <v>31</v>
      </c>
    </row>
    <row r="105" spans="3:25" ht="60" x14ac:dyDescent="0.25">
      <c r="C105" s="2" t="s">
        <v>119</v>
      </c>
      <c r="D105" s="1">
        <v>3</v>
      </c>
      <c r="E105" s="6">
        <v>2</v>
      </c>
      <c r="F105" s="6">
        <f>E105/SUM(E105:E108)</f>
        <v>5.2631578947368418E-2</v>
      </c>
      <c r="G105" s="1">
        <f>D105*F105</f>
        <v>0.15789473684210525</v>
      </c>
    </row>
    <row r="106" spans="3:25" ht="45" x14ac:dyDescent="0.25">
      <c r="C106" s="2" t="s">
        <v>120</v>
      </c>
      <c r="D106" s="1">
        <v>2</v>
      </c>
      <c r="E106" s="6">
        <v>10</v>
      </c>
      <c r="F106" s="6">
        <f>E106/SUM(E105:E108)</f>
        <v>0.26315789473684209</v>
      </c>
      <c r="G106" s="1">
        <f t="shared" ref="G106:G108" si="4">D106*F106</f>
        <v>0.52631578947368418</v>
      </c>
    </row>
    <row r="107" spans="3:25" ht="45" x14ac:dyDescent="0.25">
      <c r="C107" s="2" t="s">
        <v>121</v>
      </c>
      <c r="D107" s="1">
        <v>1</v>
      </c>
      <c r="E107" s="6">
        <v>19</v>
      </c>
      <c r="F107" s="6">
        <f>E107/SUM(E105:E108)</f>
        <v>0.5</v>
      </c>
      <c r="G107" s="1">
        <f t="shared" si="4"/>
        <v>0.5</v>
      </c>
    </row>
    <row r="108" spans="3:25" x14ac:dyDescent="0.25">
      <c r="C108" s="1" t="s">
        <v>122</v>
      </c>
      <c r="D108" s="1">
        <v>0</v>
      </c>
      <c r="E108" s="6">
        <v>7</v>
      </c>
      <c r="F108" s="6">
        <f>E108/SUM(E105:E108)</f>
        <v>0.18421052631578946</v>
      </c>
      <c r="G108" s="1">
        <f t="shared" si="4"/>
        <v>0</v>
      </c>
      <c r="J108" t="s">
        <v>123</v>
      </c>
      <c r="Q108" t="s">
        <v>168</v>
      </c>
    </row>
    <row r="109" spans="3:25" x14ac:dyDescent="0.25">
      <c r="E109" s="7" t="s">
        <v>39</v>
      </c>
      <c r="F109" s="1">
        <f>SUM(F105:F108)</f>
        <v>1</v>
      </c>
      <c r="G109" s="10">
        <f>SUM(G105:G108)</f>
        <v>1.1842105263157894</v>
      </c>
      <c r="J109" s="12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E96450-5474-48B5-AC59-8D973462AF0B}">
  <dimension ref="C4:G20"/>
  <sheetViews>
    <sheetView workbookViewId="0">
      <selection activeCell="J9" sqref="J9"/>
    </sheetView>
  </sheetViews>
  <sheetFormatPr defaultRowHeight="15" x14ac:dyDescent="0.25"/>
  <cols>
    <col min="3" max="3" width="51.7109375" customWidth="1"/>
    <col min="5" max="5" width="11.42578125" customWidth="1"/>
  </cols>
  <sheetData>
    <row r="4" spans="3:7" x14ac:dyDescent="0.25">
      <c r="C4" s="1" t="s">
        <v>66</v>
      </c>
      <c r="D4" s="1" t="s">
        <v>53</v>
      </c>
      <c r="E4" s="1" t="s">
        <v>32</v>
      </c>
      <c r="F4" s="1" t="s">
        <v>31</v>
      </c>
    </row>
    <row r="5" spans="3:7" ht="30" x14ac:dyDescent="0.25">
      <c r="C5" s="2" t="s">
        <v>64</v>
      </c>
      <c r="D5" s="1">
        <v>2</v>
      </c>
      <c r="E5" s="1">
        <v>1</v>
      </c>
      <c r="F5" s="1">
        <v>2</v>
      </c>
      <c r="G5" t="s">
        <v>212</v>
      </c>
    </row>
    <row r="6" spans="3:7" ht="60" x14ac:dyDescent="0.25">
      <c r="C6" s="2" t="s">
        <v>65</v>
      </c>
      <c r="D6" s="1">
        <v>2</v>
      </c>
      <c r="E6" s="1">
        <v>1</v>
      </c>
      <c r="F6" s="1">
        <v>0</v>
      </c>
      <c r="G6" t="s">
        <v>213</v>
      </c>
    </row>
    <row r="7" spans="3:7" x14ac:dyDescent="0.25">
      <c r="E7" s="1" t="s">
        <v>39</v>
      </c>
      <c r="F7" s="1">
        <f>SUM(F5:F6)</f>
        <v>2</v>
      </c>
    </row>
    <row r="9" spans="3:7" x14ac:dyDescent="0.25">
      <c r="C9" s="1" t="s">
        <v>10</v>
      </c>
      <c r="D9" s="1" t="s">
        <v>53</v>
      </c>
      <c r="E9" s="1" t="s">
        <v>45</v>
      </c>
      <c r="F9" s="1" t="s">
        <v>32</v>
      </c>
      <c r="G9" s="1" t="s">
        <v>31</v>
      </c>
    </row>
    <row r="10" spans="3:7" ht="30" x14ac:dyDescent="0.25">
      <c r="C10" s="2" t="s">
        <v>67</v>
      </c>
      <c r="D10" s="1">
        <v>2</v>
      </c>
      <c r="E10" s="1">
        <v>34</v>
      </c>
      <c r="F10" s="1">
        <f>34/38</f>
        <v>0.89473684210526316</v>
      </c>
      <c r="G10" s="1">
        <f>D10*F10</f>
        <v>1.7894736842105263</v>
      </c>
    </row>
    <row r="11" spans="3:7" ht="30" x14ac:dyDescent="0.25">
      <c r="C11" s="2" t="s">
        <v>68</v>
      </c>
      <c r="D11" s="1">
        <v>2</v>
      </c>
      <c r="E11" s="1"/>
      <c r="F11" s="1" t="s">
        <v>69</v>
      </c>
      <c r="G11" s="1">
        <v>2</v>
      </c>
    </row>
    <row r="12" spans="3:7" x14ac:dyDescent="0.25">
      <c r="F12" s="1" t="s">
        <v>39</v>
      </c>
      <c r="G12" s="1">
        <f>SUM(G10:G11)</f>
        <v>3.7894736842105265</v>
      </c>
    </row>
    <row r="14" spans="3:7" x14ac:dyDescent="0.25">
      <c r="C14" s="1" t="s">
        <v>70</v>
      </c>
      <c r="D14" s="1" t="s">
        <v>53</v>
      </c>
      <c r="E14" s="1" t="s">
        <v>32</v>
      </c>
      <c r="F14" s="1" t="s">
        <v>31</v>
      </c>
    </row>
    <row r="15" spans="3:7" x14ac:dyDescent="0.25">
      <c r="C15" s="1" t="s">
        <v>71</v>
      </c>
      <c r="D15" s="1">
        <v>9</v>
      </c>
      <c r="E15" s="1" t="s">
        <v>69</v>
      </c>
      <c r="F15" s="1">
        <v>9</v>
      </c>
    </row>
    <row r="16" spans="3:7" x14ac:dyDescent="0.25">
      <c r="C16" s="1" t="s">
        <v>72</v>
      </c>
      <c r="D16" s="1">
        <v>1</v>
      </c>
      <c r="E16" s="1" t="s">
        <v>69</v>
      </c>
      <c r="F16" s="1">
        <v>0</v>
      </c>
    </row>
    <row r="17" spans="3:6" x14ac:dyDescent="0.25">
      <c r="E17" s="1" t="s">
        <v>39</v>
      </c>
      <c r="F17" s="1">
        <f>SUM(F15:F16)</f>
        <v>9</v>
      </c>
    </row>
    <row r="19" spans="3:6" x14ac:dyDescent="0.25">
      <c r="C19" s="3" t="s">
        <v>12</v>
      </c>
      <c r="D19" s="1" t="s">
        <v>53</v>
      </c>
      <c r="E19" s="1" t="s">
        <v>32</v>
      </c>
      <c r="F19" s="1" t="s">
        <v>31</v>
      </c>
    </row>
    <row r="20" spans="3:6" ht="30" x14ac:dyDescent="0.25">
      <c r="C20" s="2" t="s">
        <v>73</v>
      </c>
      <c r="D20" s="1">
        <v>2</v>
      </c>
      <c r="E20" s="1">
        <v>1</v>
      </c>
      <c r="F20" s="1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8A04AF-4065-408B-9E87-D12417F6B070}">
  <dimension ref="C4:F29"/>
  <sheetViews>
    <sheetView workbookViewId="0">
      <selection activeCell="I26" sqref="I26"/>
    </sheetView>
  </sheetViews>
  <sheetFormatPr defaultRowHeight="15" x14ac:dyDescent="0.25"/>
  <cols>
    <col min="3" max="3" width="58" customWidth="1"/>
  </cols>
  <sheetData>
    <row r="4" spans="3:6" x14ac:dyDescent="0.25">
      <c r="C4" s="1" t="s">
        <v>172</v>
      </c>
      <c r="D4" s="1" t="s">
        <v>53</v>
      </c>
      <c r="E4" s="1" t="s">
        <v>32</v>
      </c>
      <c r="F4" s="1" t="s">
        <v>31</v>
      </c>
    </row>
    <row r="5" spans="3:6" x14ac:dyDescent="0.25">
      <c r="C5" s="1" t="s">
        <v>127</v>
      </c>
      <c r="D5" s="1">
        <v>4</v>
      </c>
      <c r="E5" s="1">
        <v>0</v>
      </c>
      <c r="F5" s="1">
        <v>4</v>
      </c>
    </row>
    <row r="6" spans="3:6" x14ac:dyDescent="0.25">
      <c r="C6" s="1" t="s">
        <v>128</v>
      </c>
      <c r="D6" s="1">
        <v>3</v>
      </c>
      <c r="E6" s="1">
        <v>0</v>
      </c>
      <c r="F6" s="1">
        <f>D6*E6</f>
        <v>0</v>
      </c>
    </row>
    <row r="7" spans="3:6" x14ac:dyDescent="0.25">
      <c r="C7" s="1" t="s">
        <v>129</v>
      </c>
      <c r="D7" s="1">
        <v>0</v>
      </c>
      <c r="E7" s="1">
        <v>0</v>
      </c>
      <c r="F7" s="1">
        <v>0</v>
      </c>
    </row>
    <row r="8" spans="3:6" x14ac:dyDescent="0.25">
      <c r="E8" s="7" t="s">
        <v>39</v>
      </c>
      <c r="F8" s="7">
        <f>SUM(F5:F7)</f>
        <v>4</v>
      </c>
    </row>
    <row r="11" spans="3:6" x14ac:dyDescent="0.25">
      <c r="C11" s="1" t="s">
        <v>173</v>
      </c>
      <c r="D11" s="1" t="s">
        <v>53</v>
      </c>
      <c r="E11" s="1" t="s">
        <v>32</v>
      </c>
      <c r="F11" s="1" t="s">
        <v>31</v>
      </c>
    </row>
    <row r="12" spans="3:6" x14ac:dyDescent="0.25">
      <c r="C12" s="1" t="s">
        <v>130</v>
      </c>
      <c r="D12" s="1">
        <v>4</v>
      </c>
      <c r="E12" s="1">
        <v>0</v>
      </c>
      <c r="F12" s="1"/>
    </row>
    <row r="13" spans="3:6" x14ac:dyDescent="0.25">
      <c r="C13" s="1" t="s">
        <v>131</v>
      </c>
      <c r="D13" s="1">
        <v>3</v>
      </c>
      <c r="E13" s="1">
        <v>0</v>
      </c>
      <c r="F13" s="1">
        <v>3</v>
      </c>
    </row>
    <row r="14" spans="3:6" x14ac:dyDescent="0.25">
      <c r="C14" s="1" t="s">
        <v>132</v>
      </c>
      <c r="D14" s="1">
        <v>0</v>
      </c>
      <c r="E14" s="1">
        <v>0</v>
      </c>
      <c r="F14" s="1">
        <v>0</v>
      </c>
    </row>
    <row r="15" spans="3:6" x14ac:dyDescent="0.25">
      <c r="E15" s="7" t="s">
        <v>39</v>
      </c>
      <c r="F15" s="7">
        <f>SUM(F12:F14)</f>
        <v>3</v>
      </c>
    </row>
    <row r="18" spans="3:6" x14ac:dyDescent="0.25">
      <c r="C18" s="1" t="s">
        <v>133</v>
      </c>
      <c r="D18" s="1" t="s">
        <v>53</v>
      </c>
      <c r="E18" s="1" t="s">
        <v>32</v>
      </c>
      <c r="F18" s="1" t="s">
        <v>31</v>
      </c>
    </row>
    <row r="19" spans="3:6" x14ac:dyDescent="0.25">
      <c r="C19" s="1" t="s">
        <v>134</v>
      </c>
      <c r="D19" s="1">
        <v>3</v>
      </c>
      <c r="E19" s="1">
        <v>0</v>
      </c>
      <c r="F19" s="1">
        <v>3</v>
      </c>
    </row>
    <row r="20" spans="3:6" x14ac:dyDescent="0.25">
      <c r="C20" s="1" t="s">
        <v>135</v>
      </c>
      <c r="D20" s="1">
        <v>2</v>
      </c>
      <c r="E20" s="1">
        <v>0</v>
      </c>
      <c r="F20" s="1">
        <v>0</v>
      </c>
    </row>
    <row r="21" spans="3:6" x14ac:dyDescent="0.25">
      <c r="C21" s="1" t="s">
        <v>136</v>
      </c>
      <c r="D21" s="1">
        <v>0</v>
      </c>
      <c r="E21" s="1">
        <v>0</v>
      </c>
      <c r="F21" s="1">
        <v>0</v>
      </c>
    </row>
    <row r="22" spans="3:6" x14ac:dyDescent="0.25">
      <c r="E22" s="7" t="s">
        <v>39</v>
      </c>
      <c r="F22" s="7">
        <f>SUM(F19:F21)</f>
        <v>3</v>
      </c>
    </row>
    <row r="25" spans="3:6" x14ac:dyDescent="0.25">
      <c r="C25" s="1" t="s">
        <v>137</v>
      </c>
      <c r="D25" s="1" t="s">
        <v>53</v>
      </c>
      <c r="E25" s="1" t="s">
        <v>32</v>
      </c>
      <c r="F25" s="1" t="s">
        <v>31</v>
      </c>
    </row>
    <row r="26" spans="3:6" x14ac:dyDescent="0.25">
      <c r="C26" s="1" t="s">
        <v>135</v>
      </c>
      <c r="D26" s="1">
        <v>3</v>
      </c>
      <c r="E26" s="1">
        <v>0</v>
      </c>
      <c r="F26" s="1">
        <v>3</v>
      </c>
    </row>
    <row r="27" spans="3:6" x14ac:dyDescent="0.25">
      <c r="C27" s="1" t="s">
        <v>138</v>
      </c>
      <c r="D27" s="1">
        <v>2</v>
      </c>
      <c r="E27" s="1">
        <v>0</v>
      </c>
      <c r="F27" s="1"/>
    </row>
    <row r="28" spans="3:6" x14ac:dyDescent="0.25">
      <c r="C28" s="1" t="s">
        <v>139</v>
      </c>
      <c r="D28" s="1">
        <v>0</v>
      </c>
      <c r="E28" s="1">
        <v>0</v>
      </c>
      <c r="F28" s="1">
        <v>0</v>
      </c>
    </row>
    <row r="29" spans="3:6" x14ac:dyDescent="0.25">
      <c r="E29" s="7" t="s">
        <v>39</v>
      </c>
      <c r="F29" s="7">
        <f>SUM(F26:F28)</f>
        <v>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Kalkylblad</vt:lpstr>
      </vt:variant>
      <vt:variant>
        <vt:i4>5</vt:i4>
      </vt:variant>
    </vt:vector>
  </HeadingPairs>
  <TitlesOfParts>
    <vt:vector size="5" baseType="lpstr">
      <vt:lpstr>Sammanfattning</vt:lpstr>
      <vt:lpstr>Stadens utformning</vt:lpstr>
      <vt:lpstr>Kollektivtrafikens infrastruktu</vt:lpstr>
      <vt:lpstr>Fordon och Stödsystem</vt:lpstr>
      <vt:lpstr>Trafikering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Edvin Ramberg</dc:creator>
  <cp:lastModifiedBy>Edvin Ramberg</cp:lastModifiedBy>
  <dcterms:created xsi:type="dcterms:W3CDTF">2015-06-05T18:19:34Z</dcterms:created>
  <dcterms:modified xsi:type="dcterms:W3CDTF">2024-05-29T08:31:35Z</dcterms:modified>
</cp:coreProperties>
</file>